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d.docs.live.net/445866db8093d9b2/Desktop/Infosys_Financial_Modelling_Project/"/>
    </mc:Choice>
  </mc:AlternateContent>
  <xr:revisionPtr revIDLastSave="0" documentId="13_ncr:1_{28F905C3-A65D-4666-81D6-66D0DC2691DB}" xr6:coauthVersionLast="47" xr6:coauthVersionMax="47" xr10:uidLastSave="{00000000-0000-0000-0000-000000000000}"/>
  <bookViews>
    <workbookView xWindow="-108" yWindow="-108" windowWidth="23256" windowHeight="12456" firstSheet="3" activeTab="4" xr2:uid="{00000000-000D-0000-FFFF-FFFF00000000}"/>
  </bookViews>
  <sheets>
    <sheet name="Assumption sheet" sheetId="15" r:id="rId1"/>
    <sheet name="Capex Schedule" sheetId="16" r:id="rId2"/>
    <sheet name="Historical FS" sheetId="9" r:id="rId3"/>
    <sheet name="Ratio_Analysis" sheetId="17" r:id="rId4"/>
    <sheet name="DCF_valuation" sheetId="18" r:id="rId5"/>
    <sheet name="Investment_Summary" sheetId="19" r:id="rId6"/>
    <sheet name="Financial Summary" sheetId="20" r:id="rId7"/>
    <sheet name="Data Sheet" sheetId="13" r:id="rId8"/>
  </sheets>
  <definedNames>
    <definedName name="Beta">#REF!</definedName>
    <definedName name="Cost_of_Capital">#REF!</definedName>
    <definedName name="CostofDebt">#REF!</definedName>
    <definedName name="Costofequity">#REF!</definedName>
    <definedName name="Current_Sales">#REF!</definedName>
    <definedName name="DebtValue">#REF!</definedName>
    <definedName name="EquityValue">#REF!</definedName>
    <definedName name="Gross_Margin">#REF!</definedName>
    <definedName name="MarketReturns">#REF!</definedName>
    <definedName name="Postcostofdebt">#REF!</definedName>
    <definedName name="RiskFreeRate">#REF!</definedName>
    <definedName name="Sales_Growth">#REF!</definedName>
    <definedName name="TaxRate">#REF!</definedName>
    <definedName name="UPDATE">'Data Sheet'!$E$1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28" i="18" l="1"/>
  <c r="H28" i="18"/>
  <c r="E28" i="18"/>
  <c r="F28" i="18"/>
  <c r="B21" i="19"/>
  <c r="B20" i="19"/>
  <c r="B19" i="19"/>
  <c r="B16" i="19"/>
  <c r="B15" i="19"/>
  <c r="B14" i="19"/>
  <c r="B13" i="19"/>
  <c r="B10" i="19"/>
  <c r="B9" i="19"/>
  <c r="B8" i="19"/>
  <c r="B7" i="19"/>
  <c r="B6" i="19"/>
  <c r="B5" i="19"/>
  <c r="N33" i="9"/>
  <c r="D21" i="18"/>
  <c r="C42" i="18"/>
  <c r="E29" i="18"/>
  <c r="F29" i="18" s="1"/>
  <c r="G29" i="18" s="1"/>
  <c r="H29" i="18" s="1"/>
  <c r="D23" i="18"/>
  <c r="D24" i="18" s="1"/>
  <c r="D25" i="18" s="1"/>
  <c r="D19" i="18"/>
  <c r="E5" i="18" s="1"/>
  <c r="D18" i="18"/>
  <c r="D20" i="18" s="1"/>
  <c r="D17" i="18"/>
  <c r="F9" i="18"/>
  <c r="G9" i="18"/>
  <c r="H9" i="18"/>
  <c r="E9" i="18"/>
  <c r="E8" i="18"/>
  <c r="F8" i="18"/>
  <c r="G8" i="18"/>
  <c r="H8" i="18"/>
  <c r="E7" i="18"/>
  <c r="F7" i="18"/>
  <c r="G7" i="18"/>
  <c r="H7" i="18"/>
  <c r="E4" i="18"/>
  <c r="F4" i="18"/>
  <c r="G4" i="18"/>
  <c r="G5" i="18" s="1"/>
  <c r="H4" i="18"/>
  <c r="H5" i="18" s="1"/>
  <c r="D9" i="18"/>
  <c r="D8" i="18"/>
  <c r="D7" i="18"/>
  <c r="D4" i="18"/>
  <c r="E3" i="18"/>
  <c r="F3" i="18"/>
  <c r="G3" i="18"/>
  <c r="H3" i="18"/>
  <c r="D3" i="18"/>
  <c r="D28" i="18" s="1"/>
  <c r="D24" i="17"/>
  <c r="E24" i="17"/>
  <c r="F24" i="17"/>
  <c r="G24" i="17"/>
  <c r="H24" i="17"/>
  <c r="I24" i="17"/>
  <c r="I27" i="17" s="1"/>
  <c r="J24" i="17"/>
  <c r="J27" i="17" s="1"/>
  <c r="K24" i="17"/>
  <c r="K27" i="17" s="1"/>
  <c r="L24" i="17"/>
  <c r="L27" i="17" s="1"/>
  <c r="D25" i="17"/>
  <c r="E25" i="17"/>
  <c r="F25" i="17"/>
  <c r="G25" i="17"/>
  <c r="H25" i="17"/>
  <c r="I25" i="17"/>
  <c r="J25" i="17"/>
  <c r="K25" i="17"/>
  <c r="L25" i="17"/>
  <c r="D26" i="17"/>
  <c r="E26" i="17"/>
  <c r="F26" i="17"/>
  <c r="G26" i="17"/>
  <c r="H26" i="17"/>
  <c r="I26" i="17"/>
  <c r="J26" i="17"/>
  <c r="K26" i="17"/>
  <c r="L26" i="17"/>
  <c r="D27" i="17"/>
  <c r="E27" i="17"/>
  <c r="F27" i="17"/>
  <c r="G27" i="17"/>
  <c r="H27" i="17"/>
  <c r="C27" i="17"/>
  <c r="C26" i="17"/>
  <c r="C25" i="17"/>
  <c r="C24" i="17"/>
  <c r="E19" i="17"/>
  <c r="F19" i="17"/>
  <c r="G19" i="17"/>
  <c r="H19" i="17"/>
  <c r="I19" i="17"/>
  <c r="J19" i="17"/>
  <c r="K19" i="17"/>
  <c r="L19" i="17"/>
  <c r="E20" i="17"/>
  <c r="F20" i="17"/>
  <c r="G20" i="17"/>
  <c r="H20" i="17"/>
  <c r="I20" i="17"/>
  <c r="J20" i="17"/>
  <c r="K20" i="17"/>
  <c r="L20" i="17"/>
  <c r="E21" i="17"/>
  <c r="F21" i="17"/>
  <c r="G21" i="17"/>
  <c r="H21" i="17"/>
  <c r="I21" i="17"/>
  <c r="J21" i="17"/>
  <c r="K21" i="17"/>
  <c r="L21" i="17"/>
  <c r="E22" i="17"/>
  <c r="F22" i="17"/>
  <c r="G22" i="17"/>
  <c r="H22" i="17"/>
  <c r="I22" i="17"/>
  <c r="J22" i="17"/>
  <c r="K22" i="17"/>
  <c r="L22" i="17"/>
  <c r="D21" i="17"/>
  <c r="D22" i="17"/>
  <c r="C22" i="17"/>
  <c r="D20" i="17"/>
  <c r="C20" i="17"/>
  <c r="D19" i="17"/>
  <c r="C19" i="17"/>
  <c r="D16" i="17"/>
  <c r="E16" i="17"/>
  <c r="F16" i="17"/>
  <c r="G16" i="17"/>
  <c r="H16" i="17"/>
  <c r="I16" i="17"/>
  <c r="J16" i="17"/>
  <c r="K16" i="17"/>
  <c r="L16" i="17"/>
  <c r="C17" i="17"/>
  <c r="C16" i="17"/>
  <c r="D17" i="17"/>
  <c r="E17" i="17"/>
  <c r="F17" i="17"/>
  <c r="G17" i="17"/>
  <c r="H17" i="17"/>
  <c r="I17" i="17"/>
  <c r="J17" i="17"/>
  <c r="K17" i="17"/>
  <c r="L17" i="17"/>
  <c r="D10" i="17"/>
  <c r="E10" i="17"/>
  <c r="F10" i="17"/>
  <c r="G10" i="17"/>
  <c r="H10" i="17"/>
  <c r="I10" i="17"/>
  <c r="J10" i="17"/>
  <c r="K10" i="17"/>
  <c r="L10" i="17"/>
  <c r="D11" i="17"/>
  <c r="E11" i="17"/>
  <c r="F11" i="17"/>
  <c r="G11" i="17"/>
  <c r="H11" i="17"/>
  <c r="I11" i="17"/>
  <c r="J11" i="17"/>
  <c r="K11" i="17"/>
  <c r="L11" i="17"/>
  <c r="D12" i="17"/>
  <c r="E12" i="17"/>
  <c r="F12" i="17"/>
  <c r="G12" i="17"/>
  <c r="H12" i="17"/>
  <c r="I12" i="17"/>
  <c r="J12" i="17"/>
  <c r="K12" i="17"/>
  <c r="L12" i="17"/>
  <c r="D13" i="17"/>
  <c r="E13" i="17"/>
  <c r="F13" i="17"/>
  <c r="G13" i="17"/>
  <c r="H13" i="17"/>
  <c r="I13" i="17"/>
  <c r="J13" i="17"/>
  <c r="K13" i="17"/>
  <c r="L13" i="17"/>
  <c r="D14" i="17"/>
  <c r="E14" i="17"/>
  <c r="F14" i="17"/>
  <c r="G14" i="17"/>
  <c r="H14" i="17"/>
  <c r="I14" i="17"/>
  <c r="J14" i="17"/>
  <c r="K14" i="17"/>
  <c r="L14" i="17"/>
  <c r="C14" i="17"/>
  <c r="C13" i="17"/>
  <c r="C12" i="17"/>
  <c r="C11" i="17"/>
  <c r="C10" i="17"/>
  <c r="E8" i="17"/>
  <c r="F8" i="17"/>
  <c r="G8" i="17"/>
  <c r="H8" i="17"/>
  <c r="I8" i="17"/>
  <c r="J8" i="17"/>
  <c r="K8" i="17"/>
  <c r="L8" i="17"/>
  <c r="D8" i="17"/>
  <c r="E7" i="17"/>
  <c r="F7" i="17"/>
  <c r="G7" i="17"/>
  <c r="H7" i="17"/>
  <c r="I7" i="17"/>
  <c r="J7" i="17"/>
  <c r="K7" i="17"/>
  <c r="L7" i="17"/>
  <c r="D7" i="17"/>
  <c r="E5" i="17"/>
  <c r="F5" i="17"/>
  <c r="G5" i="17"/>
  <c r="H5" i="17"/>
  <c r="I5" i="17"/>
  <c r="J5" i="17"/>
  <c r="K5" i="17"/>
  <c r="L5" i="17"/>
  <c r="D5" i="17"/>
  <c r="E6" i="17"/>
  <c r="F6" i="17"/>
  <c r="G6" i="17"/>
  <c r="H6" i="17"/>
  <c r="I6" i="17"/>
  <c r="J6" i="17"/>
  <c r="K6" i="17"/>
  <c r="L6" i="17"/>
  <c r="D6" i="17"/>
  <c r="E25" i="9"/>
  <c r="F25" i="9"/>
  <c r="G25" i="9"/>
  <c r="H25" i="9"/>
  <c r="I25" i="9"/>
  <c r="J25" i="9"/>
  <c r="K25" i="9"/>
  <c r="L25" i="9"/>
  <c r="M25" i="9"/>
  <c r="D25" i="9"/>
  <c r="B2" i="17"/>
  <c r="B3" i="17"/>
  <c r="L63" i="9"/>
  <c r="N63" i="9" s="1"/>
  <c r="O63" i="9" s="1"/>
  <c r="P63" i="9" s="1"/>
  <c r="Q63" i="9" s="1"/>
  <c r="R63" i="9" s="1"/>
  <c r="P57" i="9"/>
  <c r="Q57" i="9"/>
  <c r="R57" i="9"/>
  <c r="O57" i="9"/>
  <c r="D10" i="15"/>
  <c r="E10" i="15"/>
  <c r="F10" i="15"/>
  <c r="G10" i="15"/>
  <c r="C10" i="15"/>
  <c r="M18" i="9" a="1"/>
  <c r="M18" i="9" s="1"/>
  <c r="M24" i="9" s="1"/>
  <c r="N2" i="9"/>
  <c r="B2" i="9"/>
  <c r="D73" i="9"/>
  <c r="E73" i="9"/>
  <c r="F73" i="9"/>
  <c r="G73" i="9"/>
  <c r="H73" i="9"/>
  <c r="I73" i="9"/>
  <c r="J73" i="9"/>
  <c r="K73" i="9"/>
  <c r="L73" i="9"/>
  <c r="D74" i="9"/>
  <c r="E74" i="9"/>
  <c r="F74" i="9"/>
  <c r="G74" i="9"/>
  <c r="H74" i="9"/>
  <c r="I74" i="9"/>
  <c r="J74" i="9"/>
  <c r="K74" i="9"/>
  <c r="L74" i="9"/>
  <c r="C74" i="9"/>
  <c r="C73" i="9"/>
  <c r="D72" i="9"/>
  <c r="E72" i="9"/>
  <c r="F72" i="9"/>
  <c r="G72" i="9"/>
  <c r="H72" i="9"/>
  <c r="I72" i="9"/>
  <c r="J72" i="9"/>
  <c r="K72" i="9"/>
  <c r="K75" i="9" s="1"/>
  <c r="L72" i="9"/>
  <c r="L75" i="9" s="1"/>
  <c r="C72" i="9"/>
  <c r="D59" i="9"/>
  <c r="E59" i="9"/>
  <c r="F59" i="9"/>
  <c r="G59" i="9"/>
  <c r="H59" i="9"/>
  <c r="I59" i="9"/>
  <c r="J59" i="9"/>
  <c r="K59" i="9"/>
  <c r="L59" i="9"/>
  <c r="C59" i="9"/>
  <c r="D62" i="9"/>
  <c r="E62" i="9"/>
  <c r="F62" i="9"/>
  <c r="G62" i="9"/>
  <c r="H62" i="9"/>
  <c r="I62" i="9"/>
  <c r="J62" i="9"/>
  <c r="K62" i="9"/>
  <c r="L62" i="9"/>
  <c r="D63" i="9"/>
  <c r="E63" i="9"/>
  <c r="F63" i="9"/>
  <c r="G63" i="9"/>
  <c r="H63" i="9"/>
  <c r="I63" i="9"/>
  <c r="J63" i="9"/>
  <c r="K63" i="9"/>
  <c r="D64" i="9"/>
  <c r="E64" i="9"/>
  <c r="F64" i="9"/>
  <c r="G64" i="9"/>
  <c r="H64" i="9"/>
  <c r="I64" i="9"/>
  <c r="J64" i="9"/>
  <c r="K64" i="9"/>
  <c r="L64" i="9"/>
  <c r="C63" i="9"/>
  <c r="C64" i="9"/>
  <c r="C62" i="9"/>
  <c r="C57" i="9"/>
  <c r="D57" i="9"/>
  <c r="E57" i="9"/>
  <c r="F57" i="9"/>
  <c r="G57" i="9"/>
  <c r="H57" i="9"/>
  <c r="I57" i="9"/>
  <c r="J57" i="9"/>
  <c r="K57" i="9"/>
  <c r="L57" i="9"/>
  <c r="N57" i="9" s="1"/>
  <c r="C58" i="9"/>
  <c r="D58" i="9"/>
  <c r="E58" i="9"/>
  <c r="F58" i="9"/>
  <c r="G58" i="9"/>
  <c r="H58" i="9"/>
  <c r="I58" i="9"/>
  <c r="J58" i="9"/>
  <c r="K58" i="9"/>
  <c r="L58" i="9"/>
  <c r="C11" i="15" s="1"/>
  <c r="D56" i="9"/>
  <c r="E56" i="9"/>
  <c r="F56" i="9"/>
  <c r="G56" i="9"/>
  <c r="H56" i="9"/>
  <c r="I56" i="9"/>
  <c r="J56" i="9"/>
  <c r="K56" i="9"/>
  <c r="L56" i="9"/>
  <c r="C56" i="9"/>
  <c r="L54" i="9"/>
  <c r="H54" i="9"/>
  <c r="I54" i="9"/>
  <c r="J54" i="9"/>
  <c r="K54" i="9"/>
  <c r="D53" i="9"/>
  <c r="E53" i="9"/>
  <c r="F53" i="9"/>
  <c r="G53" i="9"/>
  <c r="D54" i="9"/>
  <c r="E54" i="9"/>
  <c r="F54" i="9"/>
  <c r="G54" i="9"/>
  <c r="C54" i="9"/>
  <c r="D50" i="9"/>
  <c r="E50" i="9"/>
  <c r="F50" i="9"/>
  <c r="G50" i="9"/>
  <c r="H50" i="9"/>
  <c r="I50" i="9"/>
  <c r="J50" i="9"/>
  <c r="K50" i="9"/>
  <c r="L50" i="9"/>
  <c r="N50" i="9" s="1"/>
  <c r="O50" i="9" s="1"/>
  <c r="P50" i="9" s="1"/>
  <c r="Q50" i="9" s="1"/>
  <c r="R50" i="9" s="1"/>
  <c r="D51" i="9"/>
  <c r="E51" i="9"/>
  <c r="F51" i="9"/>
  <c r="G51" i="9"/>
  <c r="H51" i="9"/>
  <c r="I51" i="9"/>
  <c r="J51" i="9"/>
  <c r="K51" i="9"/>
  <c r="L51" i="9"/>
  <c r="D52" i="9"/>
  <c r="E52" i="9"/>
  <c r="F52" i="9"/>
  <c r="G52" i="9"/>
  <c r="H52" i="9"/>
  <c r="I52" i="9"/>
  <c r="J52" i="9"/>
  <c r="K52" i="9"/>
  <c r="L52" i="9"/>
  <c r="N52" i="9" s="1"/>
  <c r="O52" i="9" s="1"/>
  <c r="P52" i="9" s="1"/>
  <c r="Q52" i="9" s="1"/>
  <c r="R52" i="9" s="1"/>
  <c r="H53" i="9"/>
  <c r="I53" i="9"/>
  <c r="J53" i="9"/>
  <c r="K53" i="9"/>
  <c r="L53" i="9"/>
  <c r="C51" i="9"/>
  <c r="C52" i="9"/>
  <c r="C53" i="9"/>
  <c r="C50" i="9"/>
  <c r="C44" i="9"/>
  <c r="D44" i="9"/>
  <c r="E44" i="9"/>
  <c r="F44" i="9"/>
  <c r="G44" i="9"/>
  <c r="H44" i="9"/>
  <c r="I44" i="9"/>
  <c r="J44" i="9"/>
  <c r="K44" i="9"/>
  <c r="L44" i="9"/>
  <c r="M44" i="9"/>
  <c r="D39" i="9"/>
  <c r="E39" i="9"/>
  <c r="F39" i="9"/>
  <c r="G39" i="9"/>
  <c r="H39" i="9"/>
  <c r="I39" i="9"/>
  <c r="J39" i="9"/>
  <c r="K39" i="9"/>
  <c r="L39" i="9"/>
  <c r="M39" i="9" s="1"/>
  <c r="C39" i="9"/>
  <c r="M33" i="9"/>
  <c r="D33" i="9"/>
  <c r="E33" i="9"/>
  <c r="F33" i="9"/>
  <c r="G33" i="9"/>
  <c r="H33" i="9"/>
  <c r="I33" i="9"/>
  <c r="J33" i="9"/>
  <c r="K33" i="9"/>
  <c r="L33" i="9"/>
  <c r="C33" i="9"/>
  <c r="C27" i="9"/>
  <c r="M27" i="9"/>
  <c r="D27" i="9"/>
  <c r="E27" i="9"/>
  <c r="F27" i="9"/>
  <c r="G27" i="9"/>
  <c r="H27" i="9"/>
  <c r="I27" i="9"/>
  <c r="J27" i="9"/>
  <c r="K27" i="9"/>
  <c r="L27" i="9"/>
  <c r="B9" i="16" s="1"/>
  <c r="M21" i="9"/>
  <c r="D21" i="9"/>
  <c r="E21" i="9"/>
  <c r="F21" i="9"/>
  <c r="G21" i="9"/>
  <c r="H21" i="9"/>
  <c r="I21" i="9"/>
  <c r="J21" i="9"/>
  <c r="K21" i="9"/>
  <c r="L21" i="9"/>
  <c r="C21" i="9"/>
  <c r="D15" i="9"/>
  <c r="E15" i="9"/>
  <c r="F15" i="9"/>
  <c r="G15" i="9"/>
  <c r="H15" i="9"/>
  <c r="I15" i="9"/>
  <c r="J15" i="9"/>
  <c r="K15" i="9"/>
  <c r="L15" i="9"/>
  <c r="C15" i="9"/>
  <c r="M9" i="9"/>
  <c r="D9" i="9"/>
  <c r="E9" i="9"/>
  <c r="F9" i="9"/>
  <c r="G9" i="9"/>
  <c r="H9" i="9"/>
  <c r="I9" i="9"/>
  <c r="J9" i="9"/>
  <c r="K9" i="9"/>
  <c r="L9" i="9"/>
  <c r="C9" i="9"/>
  <c r="M6" i="9"/>
  <c r="D6" i="9"/>
  <c r="E6" i="9"/>
  <c r="F6" i="9"/>
  <c r="G6" i="9"/>
  <c r="H6" i="9"/>
  <c r="I6" i="9"/>
  <c r="J6" i="9"/>
  <c r="K6" i="9"/>
  <c r="L6" i="9"/>
  <c r="L7" i="9" s="1"/>
  <c r="L4" i="17" s="1"/>
  <c r="C6" i="9"/>
  <c r="L3" i="9"/>
  <c r="L3" i="17" s="1"/>
  <c r="K3" i="9"/>
  <c r="K3" i="17" s="1"/>
  <c r="D3" i="9"/>
  <c r="D3" i="17" s="1"/>
  <c r="E3" i="9"/>
  <c r="E3" i="17" s="1"/>
  <c r="F3" i="9"/>
  <c r="F3" i="17" s="1"/>
  <c r="G3" i="9"/>
  <c r="G3" i="17" s="1"/>
  <c r="H3" i="9"/>
  <c r="H3" i="17" s="1"/>
  <c r="I3" i="9"/>
  <c r="I3" i="17" s="1"/>
  <c r="J3" i="9"/>
  <c r="J3" i="17" s="1"/>
  <c r="C3" i="9"/>
  <c r="C3" i="17" s="1"/>
  <c r="E1" i="13"/>
  <c r="B6" i="13"/>
  <c r="F5" i="18" l="1"/>
  <c r="F6" i="18" s="1"/>
  <c r="F10" i="18" s="1"/>
  <c r="F30" i="18" s="1"/>
  <c r="D5" i="18"/>
  <c r="D6" i="18" s="1"/>
  <c r="D10" i="18" s="1"/>
  <c r="D30" i="18" s="1"/>
  <c r="C41" i="18"/>
  <c r="D26" i="18"/>
  <c r="D31" i="18" s="1"/>
  <c r="E31" i="18"/>
  <c r="G31" i="18"/>
  <c r="E6" i="18"/>
  <c r="E10" i="18" s="1"/>
  <c r="E30" i="18" s="1"/>
  <c r="H6" i="18"/>
  <c r="H10" i="18" s="1"/>
  <c r="G6" i="18"/>
  <c r="G10" i="18" s="1"/>
  <c r="G30" i="18" s="1"/>
  <c r="C60" i="9"/>
  <c r="C65" i="9"/>
  <c r="C75" i="9"/>
  <c r="L60" i="9"/>
  <c r="J28" i="9"/>
  <c r="J10" i="9"/>
  <c r="I10" i="9"/>
  <c r="H28" i="9"/>
  <c r="G65" i="9"/>
  <c r="G10" i="9"/>
  <c r="H10" i="9"/>
  <c r="G28" i="9"/>
  <c r="K7" i="9"/>
  <c r="K4" i="17" s="1"/>
  <c r="F65" i="9"/>
  <c r="H75" i="9"/>
  <c r="F75" i="9"/>
  <c r="N39" i="9"/>
  <c r="O39" i="9" s="1"/>
  <c r="P39" i="9" s="1"/>
  <c r="Q39" i="9" s="1"/>
  <c r="R39" i="9" s="1"/>
  <c r="E75" i="9"/>
  <c r="D75" i="9"/>
  <c r="G75" i="9"/>
  <c r="F10" i="9"/>
  <c r="H7" i="9"/>
  <c r="H4" i="17" s="1"/>
  <c r="L65" i="9"/>
  <c r="I75" i="9"/>
  <c r="I28" i="9"/>
  <c r="J75" i="9"/>
  <c r="N6" i="9"/>
  <c r="K60" i="9"/>
  <c r="J60" i="9"/>
  <c r="I60" i="9"/>
  <c r="H60" i="9"/>
  <c r="J65" i="9"/>
  <c r="G60" i="9"/>
  <c r="G67" i="9" s="1"/>
  <c r="G69" i="9" s="1"/>
  <c r="I65" i="9"/>
  <c r="F60" i="9"/>
  <c r="H65" i="9"/>
  <c r="E60" i="9"/>
  <c r="D60" i="9"/>
  <c r="E65" i="9"/>
  <c r="K65" i="9"/>
  <c r="D65" i="9"/>
  <c r="B3" i="16"/>
  <c r="B10" i="16"/>
  <c r="C7" i="16" s="1"/>
  <c r="O6" i="9"/>
  <c r="K12" i="9"/>
  <c r="K18" i="9" s="1"/>
  <c r="K24" i="9" s="1"/>
  <c r="J7" i="9"/>
  <c r="J4" i="17" s="1"/>
  <c r="H16" i="9"/>
  <c r="G16" i="9"/>
  <c r="E7" i="9"/>
  <c r="E4" i="17" s="1"/>
  <c r="J16" i="9"/>
  <c r="M12" i="9"/>
  <c r="M13" i="9" s="1"/>
  <c r="I16" i="9"/>
  <c r="F16" i="9"/>
  <c r="E16" i="9"/>
  <c r="D16" i="9"/>
  <c r="C12" i="9"/>
  <c r="F28" i="9"/>
  <c r="G7" i="9"/>
  <c r="G4" i="17" s="1"/>
  <c r="E10" i="9"/>
  <c r="E28" i="9"/>
  <c r="D10" i="9"/>
  <c r="D28" i="9"/>
  <c r="I22" i="9"/>
  <c r="M28" i="9"/>
  <c r="C7" i="15" s="1"/>
  <c r="D7" i="15" s="1"/>
  <c r="E7" i="15" s="1"/>
  <c r="F7" i="15" s="1"/>
  <c r="G7" i="15" s="1"/>
  <c r="H22" i="9"/>
  <c r="F7" i="9"/>
  <c r="F4" i="17" s="1"/>
  <c r="M22" i="9"/>
  <c r="M19" i="9"/>
  <c r="M30" i="9"/>
  <c r="M34" i="9" s="1"/>
  <c r="C22" i="9"/>
  <c r="L28" i="9"/>
  <c r="D12" i="9"/>
  <c r="D13" i="9" s="1"/>
  <c r="L22" i="9"/>
  <c r="K28" i="9"/>
  <c r="K22" i="9"/>
  <c r="J22" i="9"/>
  <c r="C16" i="9"/>
  <c r="C10" i="9"/>
  <c r="L16" i="9"/>
  <c r="L12" i="9"/>
  <c r="L18" i="9" s="1"/>
  <c r="L24" i="9" s="1"/>
  <c r="K16" i="9"/>
  <c r="K13" i="9"/>
  <c r="D7" i="9"/>
  <c r="D4" i="17" s="1"/>
  <c r="M7" i="9"/>
  <c r="J12" i="9"/>
  <c r="I12" i="9"/>
  <c r="G22" i="9"/>
  <c r="H12" i="9"/>
  <c r="F22" i="9"/>
  <c r="G12" i="9"/>
  <c r="E22" i="9"/>
  <c r="I7" i="9"/>
  <c r="I4" i="17" s="1"/>
  <c r="L10" i="9"/>
  <c r="F12" i="9"/>
  <c r="D22" i="9"/>
  <c r="K10" i="9"/>
  <c r="E12" i="9"/>
  <c r="C28" i="9"/>
  <c r="H31" i="18" l="1"/>
  <c r="F31" i="18"/>
  <c r="F32" i="18" s="1"/>
  <c r="G32" i="18"/>
  <c r="E32" i="18"/>
  <c r="D32" i="18"/>
  <c r="C36" i="18"/>
  <c r="H30" i="18"/>
  <c r="F67" i="9"/>
  <c r="F69" i="9" s="1"/>
  <c r="I67" i="9"/>
  <c r="I69" i="9" s="1"/>
  <c r="C67" i="9"/>
  <c r="C69" i="9" s="1"/>
  <c r="E67" i="9"/>
  <c r="E69" i="9" s="1"/>
  <c r="L67" i="9"/>
  <c r="L69" i="9" s="1"/>
  <c r="D4" i="15"/>
  <c r="J67" i="9"/>
  <c r="J69" i="9" s="1"/>
  <c r="F4" i="15"/>
  <c r="H67" i="9"/>
  <c r="H69" i="9" s="1"/>
  <c r="D67" i="9"/>
  <c r="D69" i="9" s="1"/>
  <c r="O53" i="9"/>
  <c r="O59" i="9"/>
  <c r="O62" i="9"/>
  <c r="O58" i="9"/>
  <c r="E4" i="15"/>
  <c r="K67" i="9"/>
  <c r="K69" i="9" s="1"/>
  <c r="N62" i="9"/>
  <c r="N58" i="9"/>
  <c r="N59" i="9"/>
  <c r="N53" i="9"/>
  <c r="C13" i="9"/>
  <c r="C18" i="9"/>
  <c r="C24" i="9" s="1"/>
  <c r="D8" i="15"/>
  <c r="O21" i="9" s="1"/>
  <c r="E8" i="15"/>
  <c r="F8" i="15"/>
  <c r="G8" i="15"/>
  <c r="C8" i="15"/>
  <c r="N21" i="9" s="1"/>
  <c r="G4" i="15"/>
  <c r="C4" i="15"/>
  <c r="N9" i="9" s="1"/>
  <c r="N12" i="9" s="1"/>
  <c r="E6" i="15"/>
  <c r="F6" i="15"/>
  <c r="G6" i="15"/>
  <c r="C6" i="15"/>
  <c r="N15" i="9" s="1"/>
  <c r="D6" i="15"/>
  <c r="O15" i="9" s="1"/>
  <c r="C3" i="16"/>
  <c r="D3" i="16"/>
  <c r="O9" i="9"/>
  <c r="O12" i="9" s="1"/>
  <c r="P6" i="9"/>
  <c r="C19" i="9"/>
  <c r="L19" i="9"/>
  <c r="L30" i="9"/>
  <c r="D18" i="9"/>
  <c r="D24" i="9" s="1"/>
  <c r="K19" i="9"/>
  <c r="K30" i="9"/>
  <c r="M36" i="9"/>
  <c r="M31" i="9"/>
  <c r="L13" i="9"/>
  <c r="G18" i="9"/>
  <c r="G13" i="9"/>
  <c r="H13" i="9"/>
  <c r="H18" i="9"/>
  <c r="H24" i="9" s="1"/>
  <c r="I18" i="9"/>
  <c r="I13" i="9"/>
  <c r="J18" i="9"/>
  <c r="J13" i="9"/>
  <c r="E13" i="9"/>
  <c r="E18" i="9"/>
  <c r="E24" i="9" s="1"/>
  <c r="F13" i="9"/>
  <c r="F18" i="9"/>
  <c r="H32" i="18" l="1"/>
  <c r="C37" i="18"/>
  <c r="C38" i="18" s="1"/>
  <c r="C40" i="18" s="1"/>
  <c r="C43" i="18" s="1"/>
  <c r="C45" i="18" s="1"/>
  <c r="I24" i="9"/>
  <c r="J24" i="9"/>
  <c r="F24" i="9"/>
  <c r="G24" i="9"/>
  <c r="P58" i="9"/>
  <c r="P62" i="9"/>
  <c r="P53" i="9"/>
  <c r="P59" i="9"/>
  <c r="N18" i="9"/>
  <c r="N24" i="9" s="1"/>
  <c r="C5" i="16"/>
  <c r="C8" i="16" s="1"/>
  <c r="N73" i="9" s="1"/>
  <c r="C9" i="16"/>
  <c r="N27" i="9" s="1"/>
  <c r="D5" i="16"/>
  <c r="D8" i="16" s="1"/>
  <c r="O73" i="9" s="1"/>
  <c r="D9" i="16"/>
  <c r="O27" i="9" s="1"/>
  <c r="O18" i="9"/>
  <c r="O24" i="9" s="1"/>
  <c r="E3" i="16"/>
  <c r="P21" i="9"/>
  <c r="P9" i="9"/>
  <c r="P12" i="9" s="1"/>
  <c r="Q6" i="9"/>
  <c r="P15" i="9"/>
  <c r="C30" i="9"/>
  <c r="C36" i="9" s="1"/>
  <c r="I19" i="9"/>
  <c r="I30" i="9"/>
  <c r="H19" i="9"/>
  <c r="H30" i="9"/>
  <c r="G19" i="9"/>
  <c r="G30" i="9"/>
  <c r="M41" i="9"/>
  <c r="M37" i="9"/>
  <c r="K31" i="9"/>
  <c r="K36" i="9"/>
  <c r="K34" i="9"/>
  <c r="F19" i="9"/>
  <c r="F30" i="9"/>
  <c r="D19" i="9"/>
  <c r="D30" i="9"/>
  <c r="E19" i="9"/>
  <c r="E30" i="9"/>
  <c r="L36" i="9"/>
  <c r="L31" i="9"/>
  <c r="L34" i="9"/>
  <c r="J19" i="9"/>
  <c r="J30" i="9"/>
  <c r="C51" i="18" l="1"/>
  <c r="C60" i="18"/>
  <c r="C62" i="18" s="1"/>
  <c r="Q58" i="9"/>
  <c r="Q62" i="9"/>
  <c r="Q53" i="9"/>
  <c r="Q59" i="9"/>
  <c r="C10" i="16"/>
  <c r="N30" i="9"/>
  <c r="E5" i="16"/>
  <c r="E8" i="16" s="1"/>
  <c r="P73" i="9" s="1"/>
  <c r="E9" i="16"/>
  <c r="P27" i="9" s="1"/>
  <c r="O30" i="9"/>
  <c r="F3" i="16"/>
  <c r="Q21" i="9"/>
  <c r="P18" i="9"/>
  <c r="P24" i="9" s="1"/>
  <c r="Q9" i="9"/>
  <c r="Q12" i="9" s="1"/>
  <c r="R6" i="9"/>
  <c r="Q15" i="9"/>
  <c r="C34" i="9"/>
  <c r="C31" i="9"/>
  <c r="M45" i="9"/>
  <c r="M47" i="9" s="1"/>
  <c r="D34" i="9"/>
  <c r="D36" i="9"/>
  <c r="D31" i="9"/>
  <c r="F34" i="9"/>
  <c r="F36" i="9"/>
  <c r="F31" i="9"/>
  <c r="K41" i="9"/>
  <c r="K37" i="9"/>
  <c r="J36" i="9"/>
  <c r="J31" i="9"/>
  <c r="J34" i="9"/>
  <c r="G31" i="9"/>
  <c r="G34" i="9"/>
  <c r="G36" i="9"/>
  <c r="L41" i="9"/>
  <c r="L37" i="9"/>
  <c r="H36" i="9"/>
  <c r="H31" i="9"/>
  <c r="H34" i="9"/>
  <c r="C41" i="9"/>
  <c r="C37" i="9"/>
  <c r="I36" i="9"/>
  <c r="I31" i="9"/>
  <c r="I34" i="9"/>
  <c r="E34" i="9"/>
  <c r="E36" i="9"/>
  <c r="E31" i="9"/>
  <c r="R58" i="9" l="1"/>
  <c r="R62" i="9"/>
  <c r="R53" i="9"/>
  <c r="R59" i="9"/>
  <c r="P30" i="9"/>
  <c r="D7" i="16"/>
  <c r="D10" i="16" s="1"/>
  <c r="N56" i="9"/>
  <c r="N60" i="9" s="1"/>
  <c r="N36" i="9"/>
  <c r="N72" i="9" s="1"/>
  <c r="P33" i="9"/>
  <c r="P36" i="9" s="1"/>
  <c r="O33" i="9"/>
  <c r="O36" i="9" s="1"/>
  <c r="F5" i="16"/>
  <c r="F8" i="16" s="1"/>
  <c r="Q73" i="9" s="1"/>
  <c r="F9" i="16"/>
  <c r="Q27" i="9" s="1"/>
  <c r="G3" i="16"/>
  <c r="R21" i="9"/>
  <c r="Q18" i="9"/>
  <c r="Q24" i="9" s="1"/>
  <c r="R9" i="9"/>
  <c r="R12" i="9" s="1"/>
  <c r="R15" i="9"/>
  <c r="K45" i="9"/>
  <c r="K47" i="9" s="1"/>
  <c r="C45" i="9"/>
  <c r="C47" i="9" s="1"/>
  <c r="L42" i="9"/>
  <c r="L45" i="9"/>
  <c r="L47" i="9" s="1"/>
  <c r="M42" i="9"/>
  <c r="G37" i="9"/>
  <c r="G41" i="9"/>
  <c r="E37" i="9"/>
  <c r="E41" i="9"/>
  <c r="J41" i="9"/>
  <c r="J37" i="9"/>
  <c r="I41" i="9"/>
  <c r="I37" i="9"/>
  <c r="F37" i="9"/>
  <c r="F41" i="9"/>
  <c r="D37" i="9"/>
  <c r="D41" i="9"/>
  <c r="H41" i="9"/>
  <c r="H37" i="9"/>
  <c r="P72" i="9" l="1"/>
  <c r="P74" i="9"/>
  <c r="O72" i="9"/>
  <c r="O74" i="9"/>
  <c r="E7" i="16"/>
  <c r="E10" i="16" s="1"/>
  <c r="O56" i="9"/>
  <c r="O60" i="9" s="1"/>
  <c r="N74" i="9"/>
  <c r="Q30" i="9"/>
  <c r="N41" i="9"/>
  <c r="N37" i="9"/>
  <c r="O37" i="9"/>
  <c r="O41" i="9"/>
  <c r="Q33" i="9"/>
  <c r="Q36" i="9" s="1"/>
  <c r="G5" i="16"/>
  <c r="G8" i="16" s="1"/>
  <c r="R73" i="9" s="1"/>
  <c r="G9" i="16"/>
  <c r="R27" i="9" s="1"/>
  <c r="P41" i="9"/>
  <c r="P37" i="9"/>
  <c r="R18" i="9"/>
  <c r="R24" i="9" s="1"/>
  <c r="J42" i="9"/>
  <c r="J45" i="9"/>
  <c r="J47" i="9" s="1"/>
  <c r="E45" i="9"/>
  <c r="E47" i="9" s="1"/>
  <c r="E42" i="9"/>
  <c r="G42" i="9"/>
  <c r="G45" i="9"/>
  <c r="G47" i="9" s="1"/>
  <c r="H42" i="9"/>
  <c r="H45" i="9"/>
  <c r="H47" i="9" s="1"/>
  <c r="D45" i="9"/>
  <c r="D47" i="9"/>
  <c r="D42" i="9"/>
  <c r="F45" i="9"/>
  <c r="F47" i="9" s="1"/>
  <c r="F42" i="9"/>
  <c r="K42" i="9"/>
  <c r="I42" i="9"/>
  <c r="I45" i="9"/>
  <c r="I47" i="9" s="1"/>
  <c r="F7" i="16" l="1"/>
  <c r="F10" i="16" s="1"/>
  <c r="P56" i="9"/>
  <c r="P60" i="9" s="1"/>
  <c r="Q74" i="9"/>
  <c r="Q72" i="9"/>
  <c r="Q75" i="9" s="1"/>
  <c r="N75" i="9"/>
  <c r="N64" i="9" s="1"/>
  <c r="R30" i="9"/>
  <c r="O75" i="9"/>
  <c r="P75" i="9"/>
  <c r="N44" i="9"/>
  <c r="Q37" i="9"/>
  <c r="Q41" i="9"/>
  <c r="R33" i="9"/>
  <c r="R36" i="9" s="1"/>
  <c r="P44" i="9"/>
  <c r="P45" i="9" s="1"/>
  <c r="P47" i="9"/>
  <c r="O44" i="9"/>
  <c r="R74" i="9" l="1"/>
  <c r="R72" i="9"/>
  <c r="O64" i="9"/>
  <c r="N65" i="9"/>
  <c r="N67" i="9" s="1"/>
  <c r="G7" i="16"/>
  <c r="G10" i="16" s="1"/>
  <c r="R56" i="9" s="1"/>
  <c r="R60" i="9" s="1"/>
  <c r="Q56" i="9"/>
  <c r="Q60" i="9" s="1"/>
  <c r="N45" i="9"/>
  <c r="N47" i="9" s="1"/>
  <c r="N51" i="9"/>
  <c r="N54" i="9" s="1"/>
  <c r="R41" i="9"/>
  <c r="R37" i="9"/>
  <c r="O45" i="9"/>
  <c r="O47" i="9" s="1"/>
  <c r="Q44" i="9"/>
  <c r="Q45" i="9" s="1"/>
  <c r="Q47" i="9"/>
  <c r="O51" i="9" l="1"/>
  <c r="P51" i="9" s="1"/>
  <c r="P54" i="9" s="1"/>
  <c r="O54" i="9"/>
  <c r="N69" i="9"/>
  <c r="P64" i="9"/>
  <c r="O65" i="9"/>
  <c r="O67" i="9" s="1"/>
  <c r="O69" i="9" s="1"/>
  <c r="R75" i="9"/>
  <c r="R44" i="9"/>
  <c r="R45" i="9" s="1"/>
  <c r="R47" i="9" l="1"/>
  <c r="Q51" i="9"/>
  <c r="Q54" i="9" s="1"/>
  <c r="Q64" i="9"/>
  <c r="P65" i="9"/>
  <c r="P67" i="9" s="1"/>
  <c r="P69" i="9" s="1"/>
  <c r="R51" i="9"/>
  <c r="R54" i="9" s="1"/>
  <c r="R64" i="9" l="1"/>
  <c r="R65" i="9" s="1"/>
  <c r="R67" i="9" s="1"/>
  <c r="R69" i="9" s="1"/>
  <c r="Q65" i="9"/>
  <c r="Q67" i="9" s="1"/>
  <c r="Q69"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tc={2A0C6EEA-3002-4B56-98C0-8D18971384CA}</author>
    <author>tc={17FDE166-F5E9-47BE-96B7-371B3B417731}</author>
    <author>Satyam Mishra</author>
  </authors>
  <commentList>
    <comment ref="C3" authorId="0" shapeId="0" xr:uid="{2A0C6EEA-3002-4B56-98C0-8D18971384CA}">
      <text>
        <t xml:space="preserve">[Threaded comment]
Your version of Excel allows you to read this threaded comment; however, any edits to it will get removed if the file is opened in a newer version of Excel. Learn more: https://go.microsoft.com/fwlink/?linkid=870924
Comment:
    Management Guidance
</t>
      </text>
    </comment>
    <comment ref="D11" authorId="1" shapeId="0" xr:uid="{17FDE166-F5E9-47BE-96B7-371B3B417731}">
      <text>
        <t>[Threaded comment]
Your version of Excel allows you to read this threaded comment; however, any edits to it will get removed if the file is opened in a newer version of Excel. Learn more: https://go.microsoft.com/fwlink/?linkid=870924
Comment:
    3 year Average</t>
      </text>
    </comment>
    <comment ref="D12" authorId="2" shapeId="0" xr:uid="{1810CA0A-76DE-4180-8A7C-DE53AF382AEF}">
      <text>
        <r>
          <rPr>
            <b/>
            <sz val="9"/>
            <color indexed="81"/>
            <rFont val="Tahoma"/>
            <family val="2"/>
          </rPr>
          <t>Satyam Mishra:</t>
        </r>
        <r>
          <rPr>
            <sz val="9"/>
            <color indexed="81"/>
            <rFont val="Tahoma"/>
            <family val="2"/>
          </rPr>
          <t xml:space="preserve">
 3 year av
erage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Satyam Mishra</author>
  </authors>
  <commentList>
    <comment ref="D22" authorId="0" shapeId="0" xr:uid="{F6F25DE2-B928-4DCD-A1AF-2BCBE95CF89A}">
      <text>
        <r>
          <rPr>
            <b/>
            <sz val="9"/>
            <color indexed="81"/>
            <rFont val="Tahoma"/>
            <family val="2"/>
          </rPr>
          <t>Satyam Mishra:</t>
        </r>
        <r>
          <rPr>
            <sz val="9"/>
            <color indexed="81"/>
            <rFont val="Tahoma"/>
            <family val="2"/>
          </rPr>
          <t xml:space="preserve">
₹1,121 × ~408.9 crore shares ≈ ₹4,58,560 crore 
as on aug 21-26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<sst xmlns="http://schemas.openxmlformats.org/spreadsheetml/2006/main" count="275" uniqueCount="227">
  <si>
    <t>Gross Profit</t>
  </si>
  <si>
    <t>EBITDA</t>
  </si>
  <si>
    <t>Depriciation</t>
  </si>
  <si>
    <t>EBT</t>
  </si>
  <si>
    <t>Interest</t>
  </si>
  <si>
    <t xml:space="preserve"> </t>
  </si>
  <si>
    <t>#</t>
  </si>
  <si>
    <t>Total</t>
  </si>
  <si>
    <t>Sales Growth</t>
  </si>
  <si>
    <t>Gross Margin</t>
  </si>
  <si>
    <t>Years</t>
  </si>
  <si>
    <t>Adjusted Equity Shares in Cr</t>
  </si>
  <si>
    <t>DERIVED:</t>
  </si>
  <si>
    <t>PRICE:</t>
  </si>
  <si>
    <t>Net Cash Flow</t>
  </si>
  <si>
    <t>Cash from Financing Activity</t>
  </si>
  <si>
    <t>Cash from Investing Activity</t>
  </si>
  <si>
    <t>Cash from Operating Activity</t>
  </si>
  <si>
    <t>Report Date</t>
  </si>
  <si>
    <t>CASH FLOW:</t>
  </si>
  <si>
    <t>Face value</t>
  </si>
  <si>
    <t>New Bonus Shares</t>
  </si>
  <si>
    <t>No. of Equity Shares</t>
  </si>
  <si>
    <t>Cash &amp; Bank</t>
  </si>
  <si>
    <t>Inventory</t>
  </si>
  <si>
    <t>Receivables</t>
  </si>
  <si>
    <t>Other Assets</t>
  </si>
  <si>
    <t>Investments</t>
  </si>
  <si>
    <t>Capital Work in Progress</t>
  </si>
  <si>
    <t>Net Block</t>
  </si>
  <si>
    <t>Other Liabilities</t>
  </si>
  <si>
    <t>Borrowings</t>
  </si>
  <si>
    <t>Reserves</t>
  </si>
  <si>
    <t>Equity Share Capital</t>
  </si>
  <si>
    <t>BALANCE SHEET</t>
  </si>
  <si>
    <t>Operating Profit</t>
  </si>
  <si>
    <t>Net profit</t>
  </si>
  <si>
    <t>Tax</t>
  </si>
  <si>
    <t>Profit before tax</t>
  </si>
  <si>
    <t>Depreciation</t>
  </si>
  <si>
    <t>Other Income</t>
  </si>
  <si>
    <t>Expenses</t>
  </si>
  <si>
    <t>Sales</t>
  </si>
  <si>
    <t>Quarters</t>
  </si>
  <si>
    <t>Dividend Amount</t>
  </si>
  <si>
    <t>Other Expenses</t>
  </si>
  <si>
    <t>Selling and admin</t>
  </si>
  <si>
    <t>Employee Cost</t>
  </si>
  <si>
    <t>Other Mfr. Exp</t>
  </si>
  <si>
    <t>Power and Fuel</t>
  </si>
  <si>
    <t>Change in Inventory</t>
  </si>
  <si>
    <t>Raw Material Cost</t>
  </si>
  <si>
    <t>PROFIT &amp; LOSS</t>
  </si>
  <si>
    <t>Market Capitalization</t>
  </si>
  <si>
    <t>Current Price</t>
  </si>
  <si>
    <t>Face Value</t>
  </si>
  <si>
    <t>Number of shares</t>
  </si>
  <si>
    <t>META</t>
  </si>
  <si>
    <t>CURRENT VERSION</t>
  </si>
  <si>
    <t>PLEASE DO NOT MAKE ANY CHANGES TO THIS SHEET</t>
  </si>
  <si>
    <t>LATEST VERSION</t>
  </si>
  <si>
    <t>INFOSYS LTD</t>
  </si>
  <si>
    <t>COMPANY NAME</t>
  </si>
  <si>
    <t>LTM</t>
  </si>
  <si>
    <t>Income  Statement</t>
  </si>
  <si>
    <t>-</t>
  </si>
  <si>
    <t>Cogs</t>
  </si>
  <si>
    <t>COGS% Sales</t>
  </si>
  <si>
    <t>Selling % General Exp.</t>
  </si>
  <si>
    <t>S&amp;G Exp% of sales</t>
  </si>
  <si>
    <t>EBITDA % Sales</t>
  </si>
  <si>
    <t>Interest % Sales</t>
  </si>
  <si>
    <t>Depriciation % Sales</t>
  </si>
  <si>
    <t>EBT % Sales</t>
  </si>
  <si>
    <t>Effective Tax</t>
  </si>
  <si>
    <t>Net Profit</t>
  </si>
  <si>
    <t>Net Profit Margins</t>
  </si>
  <si>
    <t>EPS</t>
  </si>
  <si>
    <t>DPS</t>
  </si>
  <si>
    <t>EPS Growth%</t>
  </si>
  <si>
    <t>Dividend Payout Ratio</t>
  </si>
  <si>
    <t>Retained earning</t>
  </si>
  <si>
    <t>Balance Sheet</t>
  </si>
  <si>
    <t>Total Liablities</t>
  </si>
  <si>
    <t>Fixed Asset Net Block</t>
  </si>
  <si>
    <t>Total Non Current Asset</t>
  </si>
  <si>
    <t>Total  Current Asset</t>
  </si>
  <si>
    <t>Total Assets</t>
  </si>
  <si>
    <t>Check</t>
  </si>
  <si>
    <t>Cash Flow Statement</t>
  </si>
  <si>
    <t>Assumption</t>
  </si>
  <si>
    <t>FY27</t>
  </si>
  <si>
    <t>FY28</t>
  </si>
  <si>
    <t>FY29</t>
  </si>
  <si>
    <t>FY30</t>
  </si>
  <si>
    <t>FY31</t>
  </si>
  <si>
    <t>Revenue Growth %</t>
  </si>
  <si>
    <t>COGS % Sales</t>
  </si>
  <si>
    <t>S&amp;G Expense % Sales</t>
  </si>
  <si>
    <t>Depreciation % Sales</t>
  </si>
  <si>
    <t>Interest Rate %</t>
  </si>
  <si>
    <t>Effective Tax Rate %</t>
  </si>
  <si>
    <t>Dividend Payout Ratio %</t>
  </si>
  <si>
    <t>Mar-27F</t>
  </si>
  <si>
    <t>Mar-28F</t>
  </si>
  <si>
    <t>Mar-29F</t>
  </si>
  <si>
    <t>Mar-30F</t>
  </si>
  <si>
    <t>Mar-31F</t>
  </si>
  <si>
    <t>CAPEX &amp; Depreciation Schedule</t>
  </si>
  <si>
    <t>FY26A</t>
  </si>
  <si>
    <t>FY27E</t>
  </si>
  <si>
    <t>FY28E</t>
  </si>
  <si>
    <t>FY29E</t>
  </si>
  <si>
    <t>FY30E</t>
  </si>
  <si>
    <t>FY31E</t>
  </si>
  <si>
    <t>Revenue</t>
  </si>
  <si>
    <t>CAPEX % Revenue</t>
  </si>
  <si>
    <t>CAPEX</t>
  </si>
  <si>
    <t>Opening Net PPE</t>
  </si>
  <si>
    <t>Closing Net PPE</t>
  </si>
  <si>
    <t>Investments % Sales</t>
  </si>
  <si>
    <t>Other Assets % Sales</t>
  </si>
  <si>
    <t>Receivable Day</t>
  </si>
  <si>
    <t>SalesGrowth</t>
  </si>
  <si>
    <t>EBITDA Growth</t>
  </si>
  <si>
    <t>EBIT Growth</t>
  </si>
  <si>
    <t>Net Profit Growth</t>
  </si>
  <si>
    <t>Dividend Growth</t>
  </si>
  <si>
    <t>EBITDA Margin</t>
  </si>
  <si>
    <t>EBIT Margin</t>
  </si>
  <si>
    <t>EBT Margin</t>
  </si>
  <si>
    <t>Net Profit Margin</t>
  </si>
  <si>
    <t>Return on Capital Employed</t>
  </si>
  <si>
    <t>Interest Coverage Ratio</t>
  </si>
  <si>
    <t>Debtor Turnover Ratio</t>
  </si>
  <si>
    <t>Creditor Turnover Ratio</t>
  </si>
  <si>
    <t>Inventory Turnover</t>
  </si>
  <si>
    <t>Fixed Asset Turnover</t>
  </si>
  <si>
    <t>EBIT</t>
  </si>
  <si>
    <t>Sales growth remains positive, indicating consistent revenue expansion despite some year-to-year volatility.</t>
  </si>
  <si>
    <t>EBITDA has generally grown, reflecting sustained operating profit growth.</t>
  </si>
  <si>
    <t>EBIT growth remains positive, indicating improving operating profitability.</t>
  </si>
  <si>
    <t>Net profit has generally increased, showing healthy bottom-line growth despite some volatility.</t>
  </si>
  <si>
    <t>Dividend growth is volatile but remains positive in the latest year, indicating continued shareholder returns.</t>
  </si>
  <si>
    <t>Gross margin remains strong but has gradually moderated from historical levels.</t>
  </si>
  <si>
    <t>EBITDA margin remains healthy, indicating strong operating efficiency.</t>
  </si>
  <si>
    <t>EBIT margin remains stable around 21%, reflecting consistent operating profitability</t>
  </si>
  <si>
    <t>EBT margin remains broadly stable, indicating consistent pre-tax profitability.</t>
  </si>
  <si>
    <t>Net profit margin has improved recently, indicating better overall profitability.</t>
  </si>
  <si>
    <t>ROCE remains strong and has improved significantly, indicating efficient use of capital.</t>
  </si>
  <si>
    <t>Strong interest coverage indicates a comfortable ability to meet interest obligations.</t>
  </si>
  <si>
    <t>Debtor turnover remains stable, indicating efficient collection from customers.</t>
  </si>
  <si>
    <t>Creditor turnover has declined, indicating a longer payment cycle to suppliers.</t>
  </si>
  <si>
    <t>Not applicable as Infosys has no significant inventory requirement.</t>
  </si>
  <si>
    <t>Debtor Days</t>
  </si>
  <si>
    <t>Payable Days</t>
  </si>
  <si>
    <t>Inventory Days</t>
  </si>
  <si>
    <t>Cash Conversion Cycle</t>
  </si>
  <si>
    <t>Debtor days have remained broadly stable, indicating consistent collection efficiency.</t>
  </si>
  <si>
    <t>Payable days have increased, indicating that the company is taking longer to pay suppliers.</t>
  </si>
  <si>
    <t>Not applicable due to negligible inventory.</t>
  </si>
  <si>
    <t>Negative CCC indicates efficient working-capital management, with collections occurring before supplier payments.</t>
  </si>
  <si>
    <t>Conclusion</t>
  </si>
  <si>
    <t>Infosys demonstrates strong and consistent financial performance, supported by healthy profitability, high ROCE, efficient asset utilization, and strong interest coverage. While margins and sales growth show some fluctuations, the company maintains solid operating efficiency and a negative cash conversion cycle, indicating effective working capital management. Overall, Infosys has a strong financial position with sustainable profitability and efficient capital management.</t>
  </si>
  <si>
    <t>Trendline</t>
  </si>
  <si>
    <t>Analysis</t>
  </si>
  <si>
    <t>DCF VALUATION – INFOSYS LTD</t>
  </si>
  <si>
    <t>Tax on EBIT</t>
  </si>
  <si>
    <t>NOPAT</t>
  </si>
  <si>
    <t>(+) Depreciation</t>
  </si>
  <si>
    <t>(-) CAPEX</t>
  </si>
  <si>
    <t>(-) Change in NWC</t>
  </si>
  <si>
    <t>FCFF</t>
  </si>
  <si>
    <t>FCFF  Calculation</t>
  </si>
  <si>
    <t>Risk Free Rate</t>
  </si>
  <si>
    <t>Beta</t>
  </si>
  <si>
    <t>Equity Risk Premium</t>
  </si>
  <si>
    <t>Cost of Equity</t>
  </si>
  <si>
    <t>Pre-tax Cost of Debt</t>
  </si>
  <si>
    <t>Tax Rate</t>
  </si>
  <si>
    <t>After-tax Cost of Debt</t>
  </si>
  <si>
    <t>Market Value of Equity</t>
  </si>
  <si>
    <t>Equity Weight</t>
  </si>
  <si>
    <t>Debt Weight</t>
  </si>
  <si>
    <t>WACC</t>
  </si>
  <si>
    <t>Market Value of Debt</t>
  </si>
  <si>
    <t>Discounted FCFF  Calculation</t>
  </si>
  <si>
    <t>Discount Period</t>
  </si>
  <si>
    <t>Discount Factor</t>
  </si>
  <si>
    <t>PV of FCFF</t>
  </si>
  <si>
    <t>Terminal Value Calculation</t>
  </si>
  <si>
    <t>Terminal Growth Rate</t>
  </si>
  <si>
    <t>Terminal Year FCFF</t>
  </si>
  <si>
    <t>Terminal Value</t>
  </si>
  <si>
    <t>PV of Terminal Value</t>
  </si>
  <si>
    <t>Enterprise value</t>
  </si>
  <si>
    <t>Equity Value</t>
  </si>
  <si>
    <t>Debt Value</t>
  </si>
  <si>
    <t>Cash &amp; Cash Equivalents</t>
  </si>
  <si>
    <t>No. Of shares</t>
  </si>
  <si>
    <t>Value Per Share</t>
  </si>
  <si>
    <t>Current Value/Share</t>
  </si>
  <si>
    <t xml:space="preserve"> WACC</t>
  </si>
  <si>
    <t>Sensitivity Analysis of INFOSYS</t>
  </si>
  <si>
    <t>Valuation Summary</t>
  </si>
  <si>
    <t>Current Market Price</t>
  </si>
  <si>
    <t>Intrinsc Value</t>
  </si>
  <si>
    <t>Upside / (Downside)</t>
  </si>
  <si>
    <t>Potential Upside</t>
  </si>
  <si>
    <t>Base-case intrinsic value of Infosys is ₹1,128.51 per share, compared with the current market price of ₹1,121, implying a potential upside of 0.67%.                                                                                                                                                           The sensitivity analysis indicates that the valuation is sensitive to changes in WACC and terminal growth rate.</t>
  </si>
  <si>
    <t>Terminal Growth rate</t>
  </si>
  <si>
    <t>Investment Recommendation</t>
  </si>
  <si>
    <t>HOLD</t>
  </si>
  <si>
    <t>INFOSYS LTD – INVESTMENT SUMMARY</t>
  </si>
  <si>
    <t>Metric</t>
  </si>
  <si>
    <t>Value</t>
  </si>
  <si>
    <t>Intrinsic Value</t>
  </si>
  <si>
    <t>Recommendation</t>
  </si>
  <si>
    <t>Financial Performance</t>
  </si>
  <si>
    <t>Revenue Growth</t>
  </si>
  <si>
    <t>ROCE</t>
  </si>
  <si>
    <t>Valuation</t>
  </si>
  <si>
    <t>Enterprise Value</t>
  </si>
  <si>
    <t>Value per Share</t>
  </si>
  <si>
    <t>Investment View</t>
  </si>
  <si>
    <t>Infosys demonstrates strong profitability, efficient capital utilization and a strong balance sheet. The DCF valuation indicates an intrinsic value of ₹1,128.51 per share versus the current market price of ₹1,121, resulting in limited upside of 0.67%. Considering the limited valuation upside and sensitivity to WACC and terminal growth assumptions, the recommended stance is HOLD.</t>
  </si>
  <si>
    <t>Financial Summary Of Infosys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</si>
</sst>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6" formatCode="&quot;₹&quot;\ #,##0;[Red]&quot;₹&quot;\ \-#,##0"/>
    <numFmt numFmtId="8" formatCode="&quot;₹&quot;\ #,##0.00;[Red]&quot;₹&quot;\ \-#,##0.00"/>
    <numFmt numFmtId="43" formatCode="_ * #,##0.00_ ;_ * \-#,##0.00_ ;_ * &quot;-&quot;??_ ;_ @_ "/>
    <numFmt numFmtId="164" formatCode="_(* #,##0.00_);_(* \(#,##0.00\);_(* &quot;-&quot;??_);_(@_)"/>
    <numFmt numFmtId="165" formatCode="[$-409]mmm\-yy;@"/>
    <numFmt numFmtId="166" formatCode="&quot;₹&quot;\ #,##0.0;&quot;₹&quot;\ \(#,##0.0\);\-"/>
    <numFmt numFmtId="167" formatCode="&quot;₹&quot;\ #,##0.00"/>
  </numFmts>
  <fonts count="12" x14ac:knownFonts="1">
    <font>
      <sz val="11"/>
      <color theme="1"/>
      <name val="Calibri"/>
      <family val="2"/>
      <scheme val="minor"/>
    </font>
    <font>
      <sz val="11"/>
      <color theme="1"/>
      <name val="Calibri"/>
      <family val="2"/>
      <scheme val="minor"/>
    </font>
    <font>
      <b/>
      <sz val="11"/>
      <color theme="0"/>
      <name val="Calibri"/>
      <family val="2"/>
      <scheme val="minor"/>
    </font>
    <font>
      <b/>
      <sz val="11"/>
      <color theme="1"/>
      <name val="Calibri"/>
      <family val="2"/>
      <scheme val="minor"/>
    </font>
    <font>
      <sz val="11"/>
      <color theme="0"/>
      <name val="Calibri"/>
      <family val="2"/>
      <scheme val="minor"/>
    </font>
    <font>
      <sz val="11"/>
      <name val="Calibri"/>
      <family val="2"/>
      <scheme val="minor"/>
    </font>
    <font>
      <u/>
      <sz val="11"/>
      <color theme="10"/>
      <name val="Calibri"/>
      <family val="2"/>
    </font>
    <font>
      <i/>
      <sz val="11"/>
      <color theme="0" tint="-0.499984740745262"/>
      <name val="Calibri"/>
      <family val="2"/>
      <scheme val="minor"/>
    </font>
    <font>
      <sz val="11"/>
      <color rgb="FF3333FF"/>
      <name val="Calibri"/>
      <family val="2"/>
      <scheme val="minor"/>
    </font>
    <font>
      <sz val="9"/>
      <color indexed="81"/>
      <name val="Tahoma"/>
      <family val="2"/>
    </font>
    <font>
      <b/>
      <sz val="9"/>
      <color indexed="81"/>
      <name val="Tahoma"/>
      <family val="2"/>
    </font>
    <font>
      <b/>
      <sz val="24"/>
      <color theme="0"/>
      <name val="Calibri"/>
      <family val="2"/>
      <scheme val="minor"/>
    </font>
  </fonts>
  <fills count="9">
    <fill>
      <patternFill patternType="none"/>
    </fill>
    <fill>
      <patternFill patternType="gray125"/>
    </fill>
    <fill>
      <patternFill patternType="solid">
        <fgColor theme="9"/>
      </patternFill>
    </fill>
    <fill>
      <patternFill patternType="solid">
        <fgColor rgb="FF0275D8"/>
        <bgColor indexed="64"/>
      </patternFill>
    </fill>
    <fill>
      <patternFill patternType="solid">
        <fgColor theme="4" tint="-0.249977111117893"/>
        <bgColor indexed="64"/>
      </patternFill>
    </fill>
    <fill>
      <patternFill patternType="solid">
        <fgColor theme="4" tint="0.59999389629810485"/>
        <bgColor indexed="64"/>
      </patternFill>
    </fill>
    <fill>
      <patternFill patternType="solid">
        <fgColor theme="0"/>
        <bgColor indexed="64"/>
      </patternFill>
    </fill>
    <fill>
      <patternFill patternType="solid">
        <fgColor theme="9" tint="0.59999389629810485"/>
        <bgColor indexed="64"/>
      </patternFill>
    </fill>
    <fill>
      <patternFill patternType="solid">
        <fgColor rgb="FFFFFF00"/>
        <bgColor indexed="64"/>
      </patternFill>
    </fill>
  </fills>
  <borders count="3">
    <border>
      <left/>
      <right/>
      <top/>
      <bottom/>
      <diagonal/>
    </border>
    <border>
      <left/>
      <right/>
      <top style="thin">
        <color auto="1"/>
      </top>
      <bottom style="thin">
        <color auto="1"/>
      </bottom>
      <diagonal/>
    </border>
    <border>
      <left/>
      <right/>
      <top/>
      <bottom style="thick">
        <color auto="1"/>
      </bottom>
      <diagonal/>
    </border>
  </borders>
  <cellStyleXfs count="5">
    <xf numFmtId="0" fontId="0" fillId="0" borderId="0"/>
    <xf numFmtId="9" fontId="1" fillId="0" borderId="0" applyFont="0" applyFill="0" applyBorder="0" applyAlignment="0" applyProtection="0"/>
    <xf numFmtId="43" fontId="1" fillId="0" borderId="0" applyFont="0" applyFill="0" applyBorder="0" applyAlignment="0" applyProtection="0"/>
    <xf numFmtId="0" fontId="4" fillId="2" borderId="0" applyNumberFormat="0" applyBorder="0" applyAlignment="0" applyProtection="0"/>
    <xf numFmtId="0" fontId="6" fillId="0" borderId="0" applyNumberFormat="0" applyFill="0" applyBorder="0" applyAlignment="0" applyProtection="0">
      <alignment vertical="top"/>
      <protection locked="0"/>
    </xf>
  </cellStyleXfs>
  <cellXfs count="71">
    <xf numFmtId="0" fontId="0" fillId="0" borderId="0" xfId="0"/>
    <xf numFmtId="0" fontId="3" fillId="0" borderId="0" xfId="0" applyFont="1"/>
    <xf numFmtId="43" fontId="0" fillId="0" borderId="0" xfId="2" applyFont="1" applyBorder="1"/>
    <xf numFmtId="164" fontId="0" fillId="0" borderId="0" xfId="2" applyNumberFormat="1" applyFont="1" applyBorder="1"/>
    <xf numFmtId="43" fontId="3" fillId="0" borderId="0" xfId="2" applyFont="1" applyBorder="1"/>
    <xf numFmtId="43" fontId="1" fillId="0" borderId="0" xfId="2" applyFont="1" applyBorder="1"/>
    <xf numFmtId="165" fontId="5" fillId="0" borderId="0" xfId="2" applyNumberFormat="1" applyFont="1" applyFill="1" applyBorder="1"/>
    <xf numFmtId="165" fontId="2" fillId="3" borderId="0" xfId="0" applyNumberFormat="1" applyFont="1" applyFill="1" applyAlignment="1">
      <alignment horizontal="center"/>
    </xf>
    <xf numFmtId="165" fontId="2" fillId="3" borderId="0" xfId="2" applyNumberFormat="1" applyFont="1" applyFill="1" applyBorder="1"/>
    <xf numFmtId="0" fontId="4" fillId="4" borderId="0" xfId="0" applyFont="1" applyFill="1"/>
    <xf numFmtId="17" fontId="4" fillId="4" borderId="0" xfId="0" applyNumberFormat="1" applyFont="1" applyFill="1"/>
    <xf numFmtId="17" fontId="4" fillId="4" borderId="0" xfId="0" applyNumberFormat="1" applyFont="1" applyFill="1" applyAlignment="1">
      <alignment horizontal="right"/>
    </xf>
    <xf numFmtId="166" fontId="0" fillId="0" borderId="0" xfId="0" applyNumberFormat="1" applyAlignment="1">
      <alignment horizontal="right"/>
    </xf>
    <xf numFmtId="0" fontId="7" fillId="0" borderId="0" xfId="0" applyFont="1"/>
    <xf numFmtId="166" fontId="7" fillId="0" borderId="0" xfId="0" applyNumberFormat="1" applyFont="1" applyAlignment="1">
      <alignment horizontal="right"/>
    </xf>
    <xf numFmtId="10" fontId="7" fillId="0" borderId="0" xfId="1" applyNumberFormat="1" applyFont="1"/>
    <xf numFmtId="0" fontId="3" fillId="5" borderId="0" xfId="0" applyFont="1" applyFill="1"/>
    <xf numFmtId="0" fontId="0" fillId="5" borderId="0" xfId="0" applyFill="1"/>
    <xf numFmtId="0" fontId="0" fillId="6" borderId="0" xfId="0" applyFill="1"/>
    <xf numFmtId="0" fontId="4" fillId="6" borderId="0" xfId="0" applyFont="1" applyFill="1"/>
    <xf numFmtId="17" fontId="4" fillId="6" borderId="0" xfId="0" applyNumberFormat="1" applyFont="1" applyFill="1"/>
    <xf numFmtId="17" fontId="4" fillId="6" borderId="0" xfId="0" applyNumberFormat="1" applyFont="1" applyFill="1" applyAlignment="1">
      <alignment horizontal="right"/>
    </xf>
    <xf numFmtId="17" fontId="0" fillId="6" borderId="0" xfId="0" applyNumberFormat="1" applyFill="1"/>
    <xf numFmtId="2" fontId="0" fillId="0" borderId="0" xfId="0" applyNumberFormat="1"/>
    <xf numFmtId="166" fontId="3" fillId="0" borderId="0" xfId="0" applyNumberFormat="1" applyFont="1" applyAlignment="1">
      <alignment horizontal="right"/>
    </xf>
    <xf numFmtId="0" fontId="3" fillId="0" borderId="0" xfId="0" applyFont="1" applyAlignment="1">
      <alignment horizontal="center" vertical="center" wrapText="1"/>
    </xf>
    <xf numFmtId="0" fontId="0" fillId="0" borderId="0" xfId="0" applyAlignment="1">
      <alignment horizontal="right" vertical="center" wrapText="1"/>
    </xf>
    <xf numFmtId="0" fontId="3" fillId="0" borderId="0" xfId="0" applyFont="1" applyAlignment="1">
      <alignment horizontal="right" vertical="center" wrapText="1"/>
    </xf>
    <xf numFmtId="0" fontId="0" fillId="0" borderId="0" xfId="0" applyAlignment="1">
      <alignment vertical="center" wrapText="1"/>
    </xf>
    <xf numFmtId="10" fontId="0" fillId="0" borderId="0" xfId="0" applyNumberFormat="1" applyAlignment="1">
      <alignment horizontal="right" vertical="center" wrapText="1"/>
    </xf>
    <xf numFmtId="167" fontId="0" fillId="0" borderId="0" xfId="0" applyNumberFormat="1"/>
    <xf numFmtId="3" fontId="0" fillId="0" borderId="0" xfId="0" applyNumberFormat="1"/>
    <xf numFmtId="3" fontId="0" fillId="0" borderId="0" xfId="0" applyNumberFormat="1" applyAlignment="1">
      <alignment horizontal="right" vertical="center" wrapText="1"/>
    </xf>
    <xf numFmtId="0" fontId="3" fillId="0" borderId="0" xfId="0" applyFont="1" applyAlignment="1">
      <alignment vertical="center" wrapText="1"/>
    </xf>
    <xf numFmtId="0" fontId="0" fillId="0" borderId="0" xfId="0" applyAlignment="1">
      <alignment wrapText="1"/>
    </xf>
    <xf numFmtId="10" fontId="8" fillId="0" borderId="0" xfId="0" applyNumberFormat="1" applyFont="1" applyAlignment="1">
      <alignment horizontal="right" vertical="center" wrapText="1"/>
    </xf>
    <xf numFmtId="4" fontId="8" fillId="0" borderId="0" xfId="0" applyNumberFormat="1" applyFont="1" applyAlignment="1">
      <alignment horizontal="right" vertical="center" wrapText="1"/>
    </xf>
    <xf numFmtId="4" fontId="0" fillId="0" borderId="0" xfId="0" applyNumberFormat="1" applyAlignment="1">
      <alignment horizontal="right" vertical="center" wrapText="1"/>
    </xf>
    <xf numFmtId="4" fontId="0" fillId="0" borderId="0" xfId="0" applyNumberFormat="1"/>
    <xf numFmtId="166" fontId="0" fillId="0" borderId="0" xfId="0" applyNumberFormat="1"/>
    <xf numFmtId="166" fontId="3" fillId="0" borderId="0" xfId="0" applyNumberFormat="1" applyFont="1"/>
    <xf numFmtId="10" fontId="0" fillId="0" borderId="0" xfId="1" applyNumberFormat="1" applyFont="1"/>
    <xf numFmtId="10" fontId="0" fillId="0" borderId="0" xfId="0" applyNumberFormat="1"/>
    <xf numFmtId="0" fontId="8" fillId="0" borderId="0" xfId="0" applyFont="1"/>
    <xf numFmtId="167" fontId="3" fillId="0" borderId="0" xfId="0" applyNumberFormat="1" applyFont="1"/>
    <xf numFmtId="0" fontId="0" fillId="0" borderId="0" xfId="0" applyAlignment="1">
      <alignment horizontal="left" indent="10"/>
    </xf>
    <xf numFmtId="17" fontId="0" fillId="0" borderId="0" xfId="0" applyNumberFormat="1"/>
    <xf numFmtId="4" fontId="8" fillId="0" borderId="0" xfId="1" applyNumberFormat="1" applyFont="1" applyAlignment="1">
      <alignment horizontal="right" vertical="center" wrapText="1"/>
    </xf>
    <xf numFmtId="4" fontId="0" fillId="7" borderId="0" xfId="0" applyNumberFormat="1" applyFill="1"/>
    <xf numFmtId="0" fontId="3" fillId="0" borderId="1" xfId="0" applyFont="1" applyBorder="1"/>
    <xf numFmtId="0" fontId="0" fillId="0" borderId="1" xfId="0" applyBorder="1"/>
    <xf numFmtId="4" fontId="0" fillId="0" borderId="1" xfId="0" applyNumberFormat="1" applyBorder="1"/>
    <xf numFmtId="10" fontId="3" fillId="7" borderId="1" xfId="1" applyNumberFormat="1" applyFont="1" applyFill="1" applyBorder="1"/>
    <xf numFmtId="0" fontId="3" fillId="0" borderId="0" xfId="0" applyFont="1" applyAlignment="1">
      <alignment wrapText="1"/>
    </xf>
    <xf numFmtId="10" fontId="3" fillId="0" borderId="0" xfId="1" applyNumberFormat="1" applyFont="1"/>
    <xf numFmtId="17" fontId="2" fillId="4" borderId="2" xfId="0" applyNumberFormat="1" applyFont="1" applyFill="1" applyBorder="1"/>
    <xf numFmtId="17" fontId="4" fillId="4" borderId="2" xfId="0" applyNumberFormat="1" applyFont="1" applyFill="1" applyBorder="1"/>
    <xf numFmtId="0" fontId="3" fillId="8" borderId="0" xfId="0" applyFont="1" applyFill="1" applyAlignment="1">
      <alignment horizontal="right"/>
    </xf>
    <xf numFmtId="6" fontId="0" fillId="0" borderId="0" xfId="0" applyNumberFormat="1" applyAlignment="1">
      <alignment horizontal="right" vertical="center" wrapText="1"/>
    </xf>
    <xf numFmtId="8" fontId="0" fillId="0" borderId="0" xfId="0" applyNumberFormat="1" applyAlignment="1">
      <alignment horizontal="right" vertical="center" wrapText="1"/>
    </xf>
    <xf numFmtId="17" fontId="2" fillId="4" borderId="0" xfId="0" applyNumberFormat="1" applyFont="1" applyFill="1" applyAlignment="1">
      <alignment horizontal="center"/>
    </xf>
    <xf numFmtId="17" fontId="4" fillId="4" borderId="2" xfId="0" applyNumberFormat="1" applyFont="1" applyFill="1" applyBorder="1" applyAlignment="1">
      <alignment horizontal="center"/>
    </xf>
    <xf numFmtId="0" fontId="0" fillId="0" borderId="0" xfId="0" applyAlignment="1">
      <alignment vertical="top" wrapText="1"/>
    </xf>
    <xf numFmtId="17" fontId="4" fillId="4" borderId="0" xfId="0" applyNumberFormat="1" applyFont="1" applyFill="1" applyAlignment="1">
      <alignment horizontal="center"/>
    </xf>
    <xf numFmtId="17" fontId="4" fillId="4" borderId="0" xfId="0" applyNumberFormat="1" applyFont="1" applyFill="1" applyAlignment="1">
      <alignment horizontal="center" vertical="center"/>
    </xf>
    <xf numFmtId="0" fontId="4" fillId="4" borderId="0" xfId="0" quotePrefix="1" applyFont="1" applyFill="1" applyAlignment="1">
      <alignment horizontal="center"/>
    </xf>
    <xf numFmtId="0" fontId="0" fillId="0" borderId="0" xfId="0" applyAlignment="1">
      <alignment wrapText="1"/>
    </xf>
    <xf numFmtId="0" fontId="0" fillId="0" borderId="0" xfId="0" applyAlignment="1">
      <alignment horizontal="center" vertical="top" wrapText="1"/>
    </xf>
    <xf numFmtId="0" fontId="11" fillId="4" borderId="0" xfId="0" applyFont="1" applyFill="1" applyAlignment="1">
      <alignment horizontal="center"/>
    </xf>
    <xf numFmtId="43" fontId="6" fillId="0" borderId="0" xfId="4" applyNumberFormat="1" applyBorder="1" applyAlignment="1" applyProtection="1">
      <alignment horizontal="center"/>
    </xf>
    <xf numFmtId="43" fontId="2" fillId="2" borderId="0" xfId="3" applyNumberFormat="1" applyFont="1" applyBorder="1" applyAlignment="1">
      <alignment horizontal="center"/>
    </xf>
  </cellXfs>
  <cellStyles count="5">
    <cellStyle name="Accent6 2" xfId="3" xr:uid="{A1575421-97DE-477E-AB97-8D2EAAB18C43}"/>
    <cellStyle name="Comma" xfId="2" builtinId="3"/>
    <cellStyle name="Hyperlink" xfId="4" builtinId="8"/>
    <cellStyle name="Normal" xfId="0" builtinId="0"/>
    <cellStyle name="Percent" xfId="1" builtinId="5"/>
  </cellStyles>
  <dxfs count="1">
    <dxf>
      <font>
        <b/>
        <i val="0"/>
        <color theme="0"/>
      </font>
      <fill>
        <patternFill>
          <bgColor theme="5"/>
        </patternFill>
      </fill>
    </dxf>
  </dxfs>
  <tableStyles count="0" defaultTableStyle="TableStyleMedium2" defaultPivotStyle="PivotStyleLight16"/>
  <colors>
    <mruColors>
      <color rgb="FF3333FF"/>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mn-lt"/>
                <a:ea typeface="+mn-ea"/>
                <a:cs typeface="+mn-cs"/>
              </a:defRPr>
            </a:pPr>
            <a:r>
              <a:rPr lang="en-IN"/>
              <a:t>Sales Growth Trend</a:t>
            </a:r>
          </a:p>
        </c:rich>
      </c:tx>
      <c:overlay val="0"/>
      <c:spPr>
        <a:pattFill prst="pct20">
          <a:fgClr>
            <a:srgbClr val="0070C0"/>
          </a:fgClr>
          <a:bgClr>
            <a:schemeClr val="bg1"/>
          </a:bgClr>
        </a:pattFill>
        <a:ln>
          <a:noFill/>
        </a:ln>
        <a:effectLst/>
      </c:spPr>
      <c:txPr>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mn-lt"/>
              <a:ea typeface="+mn-ea"/>
              <a:cs typeface="+mn-cs"/>
            </a:defRPr>
          </a:pPr>
          <a:endParaRPr lang="en-US"/>
        </a:p>
      </c:txPr>
    </c:title>
    <c:autoTitleDeleted val="0"/>
    <c:plotArea>
      <c:layout/>
      <c:lineChart>
        <c:grouping val="standard"/>
        <c:varyColors val="0"/>
        <c:ser>
          <c:idx val="0"/>
          <c:order val="0"/>
          <c:spPr>
            <a:ln w="22225" cap="rnd" cmpd="sng" algn="ctr">
              <a:solidFill>
                <a:schemeClr val="accent1"/>
              </a:solidFill>
              <a:round/>
            </a:ln>
            <a:effectLst/>
          </c:spPr>
          <c:marker>
            <c:symbol val="none"/>
          </c:marker>
          <c:cat>
            <c:numRef>
              <c:f>Ratio_Analysis!$D$3:$L$3</c:f>
              <c:numCache>
                <c:formatCode>mmm\-yy</c:formatCode>
                <c:ptCount val="9"/>
                <c:pt idx="0">
                  <c:v>43190</c:v>
                </c:pt>
                <c:pt idx="1">
                  <c:v>43555</c:v>
                </c:pt>
                <c:pt idx="2">
                  <c:v>43921</c:v>
                </c:pt>
                <c:pt idx="3">
                  <c:v>44286</c:v>
                </c:pt>
                <c:pt idx="4">
                  <c:v>44651</c:v>
                </c:pt>
                <c:pt idx="5">
                  <c:v>45016</c:v>
                </c:pt>
                <c:pt idx="6">
                  <c:v>45382</c:v>
                </c:pt>
                <c:pt idx="7">
                  <c:v>45747</c:v>
                </c:pt>
                <c:pt idx="8">
                  <c:v>46112</c:v>
                </c:pt>
              </c:numCache>
            </c:numRef>
          </c:cat>
          <c:val>
            <c:numRef>
              <c:f>Ratio_Analysis!$D$4:$L$4</c:f>
              <c:numCache>
                <c:formatCode>0.00%</c:formatCode>
                <c:ptCount val="9"/>
                <c:pt idx="0">
                  <c:v>2.9758775772443125E-2</c:v>
                </c:pt>
                <c:pt idx="1">
                  <c:v>0.17232920223476356</c:v>
                </c:pt>
                <c:pt idx="2">
                  <c:v>9.8167523435137571E-2</c:v>
                </c:pt>
                <c:pt idx="3">
                  <c:v>0.10662951173574475</c:v>
                </c:pt>
                <c:pt idx="4">
                  <c:v>0.21069551715900947</c:v>
                </c:pt>
                <c:pt idx="5">
                  <c:v>0.20655864387829759</c:v>
                </c:pt>
                <c:pt idx="6">
                  <c:v>4.7033733741236095E-2</c:v>
                </c:pt>
                <c:pt idx="7">
                  <c:v>6.0649443612936782E-2</c:v>
                </c:pt>
                <c:pt idx="8">
                  <c:v>9.6079514080618544E-2</c:v>
                </c:pt>
              </c:numCache>
            </c:numRef>
          </c:val>
          <c:smooth val="0"/>
          <c:extLst>
            <c:ext xmlns:c16="http://schemas.microsoft.com/office/drawing/2014/chart" uri="{C3380CC4-5D6E-409C-BE32-E72D297353CC}">
              <c16:uniqueId val="{00000000-E15D-4488-B6D9-17E46467DE47}"/>
            </c:ext>
          </c:extLst>
        </c:ser>
        <c:dLbls>
          <c:showLegendKey val="0"/>
          <c:showVal val="0"/>
          <c:showCatName val="0"/>
          <c:showSerName val="0"/>
          <c:showPercent val="0"/>
          <c:showBubbleSize val="0"/>
        </c:dLbls>
        <c:dropLines>
          <c:spPr>
            <a:ln w="9525" cap="flat" cmpd="sng" algn="ctr">
              <a:solidFill>
                <a:schemeClr val="dk1">
                  <a:lumMod val="35000"/>
                  <a:lumOff val="65000"/>
                  <a:alpha val="33000"/>
                </a:schemeClr>
              </a:solidFill>
              <a:round/>
            </a:ln>
            <a:effectLst/>
          </c:spPr>
        </c:dropLines>
        <c:smooth val="0"/>
        <c:axId val="145731071"/>
        <c:axId val="144441775"/>
      </c:lineChart>
      <c:catAx>
        <c:axId val="145731071"/>
        <c:scaling>
          <c:orientation val="minMax"/>
        </c:scaling>
        <c:delete val="0"/>
        <c:axPos val="b"/>
        <c:numFmt formatCode="mmm\-yy"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spc="20" baseline="0">
                <a:solidFill>
                  <a:schemeClr val="dk1">
                    <a:lumMod val="65000"/>
                    <a:lumOff val="35000"/>
                  </a:schemeClr>
                </a:solidFill>
                <a:latin typeface="+mn-lt"/>
                <a:ea typeface="+mn-ea"/>
                <a:cs typeface="+mn-cs"/>
              </a:defRPr>
            </a:pPr>
            <a:endParaRPr lang="en-US"/>
          </a:p>
        </c:txPr>
        <c:crossAx val="144441775"/>
        <c:crosses val="autoZero"/>
        <c:auto val="0"/>
        <c:lblAlgn val="ctr"/>
        <c:lblOffset val="100"/>
        <c:noMultiLvlLbl val="0"/>
      </c:catAx>
      <c:valAx>
        <c:axId val="144441775"/>
        <c:scaling>
          <c:orientation val="minMax"/>
        </c:scaling>
        <c:delete val="0"/>
        <c:axPos val="l"/>
        <c:numFmt formatCode="0.00%" sourceLinked="1"/>
        <c:majorTickMark val="out"/>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chemeClr val="dk1">
                    <a:lumMod val="65000"/>
                    <a:lumOff val="35000"/>
                  </a:schemeClr>
                </a:solidFill>
                <a:latin typeface="+mn-lt"/>
                <a:ea typeface="+mn-ea"/>
                <a:cs typeface="+mn-cs"/>
              </a:defRPr>
            </a:pPr>
            <a:endParaRPr lang="en-US"/>
          </a:p>
        </c:txPr>
        <c:crossAx val="145731071"/>
        <c:crosses val="autoZero"/>
        <c:crossBetween val="between"/>
      </c:valAx>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noFill/>
        </a:ln>
        <a:effectLst/>
      </c:spPr>
    </c:plotArea>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mn-lt"/>
                <a:ea typeface="+mn-ea"/>
                <a:cs typeface="+mn-cs"/>
              </a:defRPr>
            </a:pPr>
            <a:r>
              <a:rPr lang="en-US"/>
              <a:t>EBITDA Growth</a:t>
            </a:r>
          </a:p>
        </c:rich>
      </c:tx>
      <c:overlay val="0"/>
      <c:spPr>
        <a:pattFill prst="pct20">
          <a:fgClr>
            <a:srgbClr val="0070C0"/>
          </a:fgClr>
          <a:bgClr>
            <a:schemeClr val="bg1"/>
          </a:bgClr>
        </a:pattFill>
        <a:ln>
          <a:noFill/>
        </a:ln>
        <a:effectLst/>
      </c:spPr>
      <c:txPr>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mn-lt"/>
              <a:ea typeface="+mn-ea"/>
              <a:cs typeface="+mn-cs"/>
            </a:defRPr>
          </a:pPr>
          <a:endParaRPr lang="en-US"/>
        </a:p>
      </c:txPr>
    </c:title>
    <c:autoTitleDeleted val="0"/>
    <c:plotArea>
      <c:layout/>
      <c:lineChart>
        <c:grouping val="standard"/>
        <c:varyColors val="0"/>
        <c:ser>
          <c:idx val="0"/>
          <c:order val="0"/>
          <c:tx>
            <c:strRef>
              <c:f>Ratio_Analysis!$C$5</c:f>
              <c:strCache>
                <c:ptCount val="1"/>
              </c:strCache>
            </c:strRef>
          </c:tx>
          <c:spPr>
            <a:ln w="22225" cap="rnd" cmpd="sng" algn="ctr">
              <a:solidFill>
                <a:schemeClr val="accent1"/>
              </a:solidFill>
              <a:round/>
            </a:ln>
            <a:effectLst/>
          </c:spPr>
          <c:marker>
            <c:symbol val="none"/>
          </c:marker>
          <c:cat>
            <c:numRef>
              <c:f>Ratio_Analysis!$D$3:$L$3</c:f>
              <c:numCache>
                <c:formatCode>mmm\-yy</c:formatCode>
                <c:ptCount val="9"/>
                <c:pt idx="0">
                  <c:v>43190</c:v>
                </c:pt>
                <c:pt idx="1">
                  <c:v>43555</c:v>
                </c:pt>
                <c:pt idx="2">
                  <c:v>43921</c:v>
                </c:pt>
                <c:pt idx="3">
                  <c:v>44286</c:v>
                </c:pt>
                <c:pt idx="4">
                  <c:v>44651</c:v>
                </c:pt>
                <c:pt idx="5">
                  <c:v>45016</c:v>
                </c:pt>
                <c:pt idx="6">
                  <c:v>45382</c:v>
                </c:pt>
                <c:pt idx="7">
                  <c:v>45747</c:v>
                </c:pt>
                <c:pt idx="8">
                  <c:v>46112</c:v>
                </c:pt>
              </c:numCache>
            </c:numRef>
          </c:cat>
          <c:val>
            <c:numRef>
              <c:f>Ratio_Analysis!$D$5:$L$5</c:f>
              <c:numCache>
                <c:formatCode>0.00%</c:formatCode>
                <c:ptCount val="9"/>
                <c:pt idx="0">
                  <c:v>1.1717910126854525E-2</c:v>
                </c:pt>
                <c:pt idx="1">
                  <c:v>7.1618318988417862E-2</c:v>
                </c:pt>
                <c:pt idx="2">
                  <c:v>0.10396628656420437</c:v>
                </c:pt>
                <c:pt idx="3">
                  <c:v>0.25248125028068436</c:v>
                </c:pt>
                <c:pt idx="4">
                  <c:v>0.12915486392484499</c:v>
                </c:pt>
                <c:pt idx="5">
                  <c:v>0.1155568257597408</c:v>
                </c:pt>
                <c:pt idx="6">
                  <c:v>3.6863079988613823E-2</c:v>
                </c:pt>
                <c:pt idx="7">
                  <c:v>7.7172271791352109E-2</c:v>
                </c:pt>
                <c:pt idx="8">
                  <c:v>7.758181262106234E-2</c:v>
                </c:pt>
              </c:numCache>
            </c:numRef>
          </c:val>
          <c:smooth val="0"/>
          <c:extLst>
            <c:ext xmlns:c16="http://schemas.microsoft.com/office/drawing/2014/chart" uri="{C3380CC4-5D6E-409C-BE32-E72D297353CC}">
              <c16:uniqueId val="{00000000-380F-4E34-92E1-773AB6B6539B}"/>
            </c:ext>
          </c:extLst>
        </c:ser>
        <c:dLbls>
          <c:showLegendKey val="0"/>
          <c:showVal val="0"/>
          <c:showCatName val="0"/>
          <c:showSerName val="0"/>
          <c:showPercent val="0"/>
          <c:showBubbleSize val="0"/>
        </c:dLbls>
        <c:dropLines>
          <c:spPr>
            <a:ln w="9525" cap="flat" cmpd="sng" algn="ctr">
              <a:solidFill>
                <a:schemeClr val="dk1">
                  <a:lumMod val="35000"/>
                  <a:lumOff val="65000"/>
                  <a:alpha val="33000"/>
                </a:schemeClr>
              </a:solidFill>
              <a:round/>
            </a:ln>
            <a:effectLst/>
          </c:spPr>
        </c:dropLines>
        <c:smooth val="0"/>
        <c:axId val="31174063"/>
        <c:axId val="144421615"/>
      </c:lineChart>
      <c:catAx>
        <c:axId val="31174063"/>
        <c:scaling>
          <c:orientation val="minMax"/>
        </c:scaling>
        <c:delete val="0"/>
        <c:axPos val="b"/>
        <c:numFmt formatCode="mmm\-yy"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spc="20" baseline="0">
                <a:solidFill>
                  <a:schemeClr val="dk1">
                    <a:lumMod val="65000"/>
                    <a:lumOff val="35000"/>
                  </a:schemeClr>
                </a:solidFill>
                <a:latin typeface="+mn-lt"/>
                <a:ea typeface="+mn-ea"/>
                <a:cs typeface="+mn-cs"/>
              </a:defRPr>
            </a:pPr>
            <a:endParaRPr lang="en-US"/>
          </a:p>
        </c:txPr>
        <c:crossAx val="144421615"/>
        <c:crosses val="autoZero"/>
        <c:auto val="0"/>
        <c:lblAlgn val="ctr"/>
        <c:lblOffset val="100"/>
        <c:noMultiLvlLbl val="0"/>
      </c:catAx>
      <c:valAx>
        <c:axId val="144421615"/>
        <c:scaling>
          <c:orientation val="minMax"/>
        </c:scaling>
        <c:delete val="0"/>
        <c:axPos val="l"/>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chemeClr val="dk1">
                    <a:lumMod val="65000"/>
                    <a:lumOff val="35000"/>
                  </a:schemeClr>
                </a:solidFill>
                <a:latin typeface="+mn-lt"/>
                <a:ea typeface="+mn-ea"/>
                <a:cs typeface="+mn-cs"/>
              </a:defRPr>
            </a:pPr>
            <a:endParaRPr lang="en-US"/>
          </a:p>
        </c:txPr>
        <c:crossAx val="31174063"/>
        <c:crosses val="autoZero"/>
        <c:crossBetween val="between"/>
      </c:valAx>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noFill/>
        </a:ln>
        <a:effectLst/>
      </c:spPr>
    </c:plotArea>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mn-lt"/>
                <a:ea typeface="+mn-ea"/>
                <a:cs typeface="+mn-cs"/>
              </a:defRPr>
            </a:pPr>
            <a:r>
              <a:rPr lang="en-US"/>
              <a:t>Net Profit Growth</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mn-lt"/>
              <a:ea typeface="+mn-ea"/>
              <a:cs typeface="+mn-cs"/>
            </a:defRPr>
          </a:pPr>
          <a:endParaRPr lang="en-US"/>
        </a:p>
      </c:txPr>
    </c:title>
    <c:autoTitleDeleted val="0"/>
    <c:plotArea>
      <c:layout/>
      <c:lineChart>
        <c:grouping val="standard"/>
        <c:varyColors val="0"/>
        <c:ser>
          <c:idx val="0"/>
          <c:order val="0"/>
          <c:tx>
            <c:strRef>
              <c:f>Ratio_Analysis!$C$7</c:f>
              <c:strCache>
                <c:ptCount val="1"/>
              </c:strCache>
            </c:strRef>
          </c:tx>
          <c:spPr>
            <a:ln w="22225" cap="rnd" cmpd="sng" algn="ctr">
              <a:solidFill>
                <a:schemeClr val="accent1"/>
              </a:solidFill>
              <a:round/>
            </a:ln>
            <a:effectLst/>
          </c:spPr>
          <c:marker>
            <c:symbol val="none"/>
          </c:marker>
          <c:cat>
            <c:numRef>
              <c:f>Ratio_Analysis!$D$3:$L$3</c:f>
              <c:numCache>
                <c:formatCode>mmm\-yy</c:formatCode>
                <c:ptCount val="9"/>
                <c:pt idx="0">
                  <c:v>43190</c:v>
                </c:pt>
                <c:pt idx="1">
                  <c:v>43555</c:v>
                </c:pt>
                <c:pt idx="2">
                  <c:v>43921</c:v>
                </c:pt>
                <c:pt idx="3">
                  <c:v>44286</c:v>
                </c:pt>
                <c:pt idx="4">
                  <c:v>44651</c:v>
                </c:pt>
                <c:pt idx="5">
                  <c:v>45016</c:v>
                </c:pt>
                <c:pt idx="6">
                  <c:v>45382</c:v>
                </c:pt>
                <c:pt idx="7">
                  <c:v>45747</c:v>
                </c:pt>
                <c:pt idx="8">
                  <c:v>46112</c:v>
                </c:pt>
              </c:numCache>
            </c:numRef>
          </c:cat>
          <c:val>
            <c:numRef>
              <c:f>Ratio_Analysis!$D$7:$L$7</c:f>
              <c:numCache>
                <c:formatCode>0.00%</c:formatCode>
                <c:ptCount val="9"/>
                <c:pt idx="0">
                  <c:v>0.12518800318499523</c:v>
                </c:pt>
                <c:pt idx="1">
                  <c:v>-1.4939455889290798E-2</c:v>
                </c:pt>
                <c:pt idx="2">
                  <c:v>0.10440613026819934</c:v>
                </c:pt>
                <c:pt idx="3">
                  <c:v>0.24472390864411686</c:v>
                </c:pt>
                <c:pt idx="4">
                  <c:v>0.15265358262687267</c:v>
                </c:pt>
                <c:pt idx="5">
                  <c:v>7.8383960505767902E-2</c:v>
                </c:pt>
                <c:pt idx="6">
                  <c:v>6.0727799317981113E-3</c:v>
                </c:pt>
                <c:pt idx="7">
                  <c:v>7.4894367832102793E-2</c:v>
                </c:pt>
                <c:pt idx="8">
                  <c:v>0.14215982721382292</c:v>
                </c:pt>
              </c:numCache>
            </c:numRef>
          </c:val>
          <c:smooth val="0"/>
          <c:extLst>
            <c:ext xmlns:c16="http://schemas.microsoft.com/office/drawing/2014/chart" uri="{C3380CC4-5D6E-409C-BE32-E72D297353CC}">
              <c16:uniqueId val="{00000000-8498-4084-AEBA-62FECE686084}"/>
            </c:ext>
          </c:extLst>
        </c:ser>
        <c:dLbls>
          <c:showLegendKey val="0"/>
          <c:showVal val="0"/>
          <c:showCatName val="0"/>
          <c:showSerName val="0"/>
          <c:showPercent val="0"/>
          <c:showBubbleSize val="0"/>
        </c:dLbls>
        <c:dropLines>
          <c:spPr>
            <a:ln w="9525" cap="flat" cmpd="sng" algn="ctr">
              <a:solidFill>
                <a:schemeClr val="dk1">
                  <a:lumMod val="35000"/>
                  <a:lumOff val="65000"/>
                  <a:alpha val="33000"/>
                </a:schemeClr>
              </a:solidFill>
              <a:round/>
            </a:ln>
            <a:effectLst/>
          </c:spPr>
        </c:dropLines>
        <c:smooth val="0"/>
        <c:axId val="284145647"/>
        <c:axId val="148690863"/>
      </c:lineChart>
      <c:catAx>
        <c:axId val="284145647"/>
        <c:scaling>
          <c:orientation val="minMax"/>
        </c:scaling>
        <c:delete val="0"/>
        <c:axPos val="b"/>
        <c:numFmt formatCode="mmm\-yy"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spc="20" baseline="0">
                <a:solidFill>
                  <a:schemeClr val="dk1">
                    <a:lumMod val="65000"/>
                    <a:lumOff val="35000"/>
                  </a:schemeClr>
                </a:solidFill>
                <a:latin typeface="+mn-lt"/>
                <a:ea typeface="+mn-ea"/>
                <a:cs typeface="+mn-cs"/>
              </a:defRPr>
            </a:pPr>
            <a:endParaRPr lang="en-US"/>
          </a:p>
        </c:txPr>
        <c:crossAx val="148690863"/>
        <c:crosses val="autoZero"/>
        <c:auto val="0"/>
        <c:lblAlgn val="ctr"/>
        <c:lblOffset val="100"/>
        <c:noMultiLvlLbl val="0"/>
      </c:catAx>
      <c:valAx>
        <c:axId val="148690863"/>
        <c:scaling>
          <c:orientation val="minMax"/>
        </c:scaling>
        <c:delete val="0"/>
        <c:axPos val="l"/>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chemeClr val="dk1">
                    <a:lumMod val="65000"/>
                    <a:lumOff val="35000"/>
                  </a:schemeClr>
                </a:solidFill>
                <a:latin typeface="+mn-lt"/>
                <a:ea typeface="+mn-ea"/>
                <a:cs typeface="+mn-cs"/>
              </a:defRPr>
            </a:pPr>
            <a:endParaRPr lang="en-US"/>
          </a:p>
        </c:txPr>
        <c:crossAx val="284145647"/>
        <c:crosses val="autoZero"/>
        <c:crossBetween val="between"/>
      </c:valAx>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noFill/>
        </a:ln>
        <a:effectLst/>
      </c:spPr>
    </c:plotArea>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mn-lt"/>
                <a:ea typeface="+mn-ea"/>
                <a:cs typeface="+mn-cs"/>
              </a:defRPr>
            </a:pPr>
            <a:r>
              <a:rPr lang="en-IN"/>
              <a:t>ROCE</a:t>
            </a:r>
            <a:r>
              <a:rPr lang="en-IN" baseline="0"/>
              <a:t> Trend</a:t>
            </a:r>
          </a:p>
        </c:rich>
      </c:tx>
      <c:overlay val="0"/>
      <c:spPr>
        <a:noFill/>
        <a:ln>
          <a:noFill/>
        </a:ln>
        <a:effectLst/>
      </c:spPr>
      <c:txPr>
        <a:bodyPr rot="0" spcFirstLastPara="1" vertOverflow="ellipsis" vert="horz" wrap="square" anchor="ctr" anchorCtr="1"/>
        <a:lstStyle/>
        <a:p>
          <a:pPr>
            <a:defRPr sz="1400" b="0" i="0" u="none" strike="noStrike" kern="1200" cap="none" spc="20" baseline="0">
              <a:solidFill>
                <a:schemeClr val="dk1">
                  <a:lumMod val="50000"/>
                  <a:lumOff val="50000"/>
                </a:schemeClr>
              </a:solidFill>
              <a:latin typeface="+mn-lt"/>
              <a:ea typeface="+mn-ea"/>
              <a:cs typeface="+mn-cs"/>
            </a:defRPr>
          </a:pPr>
          <a:endParaRPr lang="en-US"/>
        </a:p>
      </c:txPr>
    </c:title>
    <c:autoTitleDeleted val="0"/>
    <c:plotArea>
      <c:layout/>
      <c:lineChart>
        <c:grouping val="standard"/>
        <c:varyColors val="0"/>
        <c:ser>
          <c:idx val="0"/>
          <c:order val="0"/>
          <c:spPr>
            <a:ln w="22225" cap="rnd" cmpd="sng" algn="ctr">
              <a:solidFill>
                <a:schemeClr val="accent1"/>
              </a:solidFill>
              <a:round/>
            </a:ln>
            <a:effectLst/>
          </c:spPr>
          <c:marker>
            <c:symbol val="none"/>
          </c:marker>
          <c:cat>
            <c:numRef>
              <c:f>Ratio_Analysis!$C$3:$L$3</c:f>
              <c:numCache>
                <c:formatCode>mmm\-yy</c:formatCode>
                <c:ptCount val="10"/>
                <c:pt idx="0">
                  <c:v>42825</c:v>
                </c:pt>
                <c:pt idx="1">
                  <c:v>43190</c:v>
                </c:pt>
                <c:pt idx="2">
                  <c:v>43555</c:v>
                </c:pt>
                <c:pt idx="3">
                  <c:v>43921</c:v>
                </c:pt>
                <c:pt idx="4">
                  <c:v>44286</c:v>
                </c:pt>
                <c:pt idx="5">
                  <c:v>44651</c:v>
                </c:pt>
                <c:pt idx="6">
                  <c:v>45016</c:v>
                </c:pt>
                <c:pt idx="7">
                  <c:v>45382</c:v>
                </c:pt>
                <c:pt idx="8">
                  <c:v>45747</c:v>
                </c:pt>
                <c:pt idx="9">
                  <c:v>46112</c:v>
                </c:pt>
              </c:numCache>
            </c:numRef>
          </c:cat>
          <c:val>
            <c:numRef>
              <c:f>Ratio_Analysis!$C$16:$L$16</c:f>
              <c:numCache>
                <c:formatCode>0.00%</c:formatCode>
                <c:ptCount val="10"/>
                <c:pt idx="0">
                  <c:v>0.26969354324316486</c:v>
                </c:pt>
                <c:pt idx="1">
                  <c:v>0.28991266577330066</c:v>
                </c:pt>
                <c:pt idx="2">
                  <c:v>0.31055613721746628</c:v>
                </c:pt>
                <c:pt idx="3">
                  <c:v>0.31529757573163247</c:v>
                </c:pt>
                <c:pt idx="4">
                  <c:v>0.33907145305842595</c:v>
                </c:pt>
                <c:pt idx="5">
                  <c:v>0.38714985647827377</c:v>
                </c:pt>
                <c:pt idx="6">
                  <c:v>0.41629034955678207</c:v>
                </c:pt>
                <c:pt idx="7">
                  <c:v>0.37268722466960352</c:v>
                </c:pt>
                <c:pt idx="8">
                  <c:v>0.37310778989860155</c:v>
                </c:pt>
                <c:pt idx="9">
                  <c:v>0.41031873603324576</c:v>
                </c:pt>
              </c:numCache>
            </c:numRef>
          </c:val>
          <c:smooth val="0"/>
          <c:extLst>
            <c:ext xmlns:c16="http://schemas.microsoft.com/office/drawing/2014/chart" uri="{C3380CC4-5D6E-409C-BE32-E72D297353CC}">
              <c16:uniqueId val="{00000000-ED81-40C6-9392-58E2D78F8187}"/>
            </c:ext>
          </c:extLst>
        </c:ser>
        <c:dLbls>
          <c:showLegendKey val="0"/>
          <c:showVal val="0"/>
          <c:showCatName val="0"/>
          <c:showSerName val="0"/>
          <c:showPercent val="0"/>
          <c:showBubbleSize val="0"/>
        </c:dLbls>
        <c:dropLines>
          <c:spPr>
            <a:ln w="9525" cap="flat" cmpd="sng" algn="ctr">
              <a:solidFill>
                <a:schemeClr val="dk1">
                  <a:lumMod val="35000"/>
                  <a:lumOff val="65000"/>
                  <a:alpha val="33000"/>
                </a:schemeClr>
              </a:solidFill>
              <a:round/>
            </a:ln>
            <a:effectLst/>
          </c:spPr>
        </c:dropLines>
        <c:smooth val="0"/>
        <c:axId val="414255999"/>
        <c:axId val="148706223"/>
      </c:lineChart>
      <c:catAx>
        <c:axId val="414255999"/>
        <c:scaling>
          <c:orientation val="minMax"/>
        </c:scaling>
        <c:delete val="0"/>
        <c:axPos val="b"/>
        <c:numFmt formatCode="mmm\-yy" sourceLinked="1"/>
        <c:majorTickMark val="out"/>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900" b="0" i="0" u="none" strike="noStrike" kern="1200" spc="20" baseline="0">
                <a:solidFill>
                  <a:schemeClr val="dk1">
                    <a:lumMod val="65000"/>
                    <a:lumOff val="35000"/>
                  </a:schemeClr>
                </a:solidFill>
                <a:latin typeface="+mn-lt"/>
                <a:ea typeface="+mn-ea"/>
                <a:cs typeface="+mn-cs"/>
              </a:defRPr>
            </a:pPr>
            <a:endParaRPr lang="en-US"/>
          </a:p>
        </c:txPr>
        <c:crossAx val="148706223"/>
        <c:crosses val="autoZero"/>
        <c:auto val="0"/>
        <c:lblAlgn val="ctr"/>
        <c:lblOffset val="100"/>
        <c:noMultiLvlLbl val="1"/>
      </c:catAx>
      <c:valAx>
        <c:axId val="148706223"/>
        <c:scaling>
          <c:orientation val="minMax"/>
        </c:scaling>
        <c:delete val="0"/>
        <c:axPos val="l"/>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spc="20" baseline="0">
                <a:solidFill>
                  <a:schemeClr val="dk1">
                    <a:lumMod val="65000"/>
                    <a:lumOff val="35000"/>
                  </a:schemeClr>
                </a:solidFill>
                <a:latin typeface="+mn-lt"/>
                <a:ea typeface="+mn-ea"/>
                <a:cs typeface="+mn-cs"/>
              </a:defRPr>
            </a:pPr>
            <a:endParaRPr lang="en-US"/>
          </a:p>
        </c:txPr>
        <c:crossAx val="414255999"/>
        <c:crosses val="autoZero"/>
        <c:crossBetween val="between"/>
      </c:valAx>
      <c:spPr>
        <a:gradFill>
          <a:gsLst>
            <a:gs pos="0">
              <a:schemeClr val="accent1">
                <a:lumMod val="5000"/>
                <a:lumOff val="95000"/>
              </a:schemeClr>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a:ln>
          <a:noFill/>
        </a:ln>
        <a:effectLst/>
      </c:spPr>
    </c:plotArea>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30">
  <cs:axisTitle>
    <cs:lnRef idx="0"/>
    <cs:fillRef idx="0"/>
    <cs:effectRef idx="0"/>
    <cs:fontRef idx="minor">
      <a:schemeClr val="dk1">
        <a:lumMod val="65000"/>
        <a:lumOff val="35000"/>
      </a:schemeClr>
    </cs:fontRef>
    <cs:defRPr sz="900" kern="1200" cap="all"/>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b="0" kern="1200" spc="20" baseline="0"/>
  </cs:categoryAxis>
  <cs:chartArea mods="allowNoLineOverride">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a:schemeClr val="dk1">
        <a:lumMod val="65000"/>
        <a:lumOff val="3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
  <cs:dataPoint3D>
    <cs:lnRef idx="0">
      <cs:styleClr val="auto"/>
    </cs:lnRef>
    <cs:fillRef idx="2">
      <cs:styleClr val="auto"/>
    </cs:fillRef>
    <cs:effectRef idx="1"/>
    <cs:fontRef idx="minor">
      <a:schemeClr val="dk1"/>
    </cs:fontRef>
    <cs:spPr>
      <a:ln w="9525" cap="flat" cmpd="sng" algn="ctr">
        <a:solidFill>
          <a:schemeClr val="phClr">
            <a:shade val="95000"/>
          </a:schemeClr>
        </a:solidFill>
        <a:round/>
      </a:ln>
    </cs:spPr>
  </cs:dataPoint3D>
  <cs:dataPointLine>
    <cs:lnRef idx="0">
      <cs:styleClr val="auto"/>
    </cs:lnRef>
    <cs:fillRef idx="0"/>
    <cs:effectRef idx="0"/>
    <cs:fontRef idx="minor">
      <a:schemeClr val="dk1"/>
    </cs:fontRef>
    <cs:spPr>
      <a:ln w="22225" cap="rnd" cmpd="sng" algn="ctr">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cap="flat" cmpd="sng" algn="ctr">
        <a:solidFill>
          <a:schemeClr val="phClr"/>
        </a:solidFill>
        <a:round/>
      </a:ln>
    </cs:spPr>
  </cs:dataPointMarker>
  <cs:dataPointMarkerLayout symbol="circle" size="4"/>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65000"/>
            <a:lumOff val="35000"/>
          </a:schemeClr>
        </a:solidFill>
      </a:ln>
    </cs:spPr>
  </cs:downBar>
  <cs:dropLine>
    <cs:lnRef idx="0"/>
    <cs:fillRef idx="0"/>
    <cs:effectRef idx="0"/>
    <cs:fontRef idx="minor">
      <a:schemeClr val="dk1"/>
    </cs:fontRef>
    <cs:spPr>
      <a:ln w="9525" cap="flat" cmpd="sng" algn="ctr">
        <a:solidFill>
          <a:schemeClr val="dk1">
            <a:lumMod val="35000"/>
            <a:lumOff val="65000"/>
            <a:alpha val="33000"/>
          </a:schemeClr>
        </a:solidFill>
        <a:round/>
      </a:ln>
    </cs:spPr>
  </cs:dropLine>
  <cs:errorBar>
    <cs:lnRef idx="0"/>
    <cs:fillRef idx="0"/>
    <cs:effectRef idx="0"/>
    <cs:fontRef idx="minor">
      <a:schemeClr val="dk1"/>
    </cs:fontRef>
    <cs:spPr>
      <a:ln w="9525">
        <a:solidFill>
          <a:schemeClr val="dk1">
            <a:lumMod val="65000"/>
            <a:lumOff val="35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spPr>
      <a:gradFill>
        <a:gsLst>
          <a:gs pos="100000">
            <a:schemeClr val="lt1">
              <a:lumMod val="95000"/>
            </a:schemeClr>
          </a:gs>
          <a:gs pos="0">
            <a:schemeClr val="lt1"/>
          </a:gs>
        </a:gsLst>
        <a:lin ang="5400000" scaled="0"/>
      </a:gradFill>
    </cs:spPr>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prstDash val="dash"/>
      </a:ln>
    </cs:spPr>
  </cs:seriesLine>
  <cs:title>
    <cs:lnRef idx="0"/>
    <cs:fillRef idx="0"/>
    <cs:effectRef idx="0"/>
    <cs:fontRef idx="minor">
      <a:schemeClr val="dk1">
        <a:lumMod val="50000"/>
        <a:lumOff val="50000"/>
      </a:schemeClr>
    </cs:fontRef>
    <cs:defRPr sz="1400" kern="1200" cap="none" spc="20" baseline="0"/>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65000"/>
            <a:lumOff val="35000"/>
          </a:schemeClr>
        </a:solidFill>
      </a:ln>
    </cs:spPr>
  </cs:upBar>
  <cs:valueAxis>
    <cs:lnRef idx="0"/>
    <cs:fillRef idx="0"/>
    <cs:effectRef idx="0"/>
    <cs:fontRef idx="minor">
      <a:schemeClr val="dk1">
        <a:lumMod val="65000"/>
        <a:lumOff val="35000"/>
      </a:schemeClr>
    </cs:fontRef>
    <cs:defRPr sz="900" kern="1200" spc="20" baseline="0"/>
  </cs:valueAxis>
  <cs:wall>
    <cs:lnRef idx="0"/>
    <cs:fillRef idx="0"/>
    <cs:effectRef idx="0"/>
    <cs:fontRef idx="minor">
      <a:schemeClr val="dk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1</xdr:col>
      <xdr:colOff>0</xdr:colOff>
      <xdr:row>3</xdr:row>
      <xdr:rowOff>0</xdr:rowOff>
    </xdr:from>
    <xdr:to>
      <xdr:col>7</xdr:col>
      <xdr:colOff>152400</xdr:colOff>
      <xdr:row>13</xdr:row>
      <xdr:rowOff>144780</xdr:rowOff>
    </xdr:to>
    <xdr:graphicFrame macro="">
      <xdr:nvGraphicFramePr>
        <xdr:cNvPr id="2" name="Chart 1">
          <a:extLst>
            <a:ext uri="{FF2B5EF4-FFF2-40B4-BE49-F238E27FC236}">
              <a16:creationId xmlns:a16="http://schemas.microsoft.com/office/drawing/2014/main" id="{A618BAEF-EC77-4351-A79B-E108D2EC223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7</xdr:col>
      <xdr:colOff>167640</xdr:colOff>
      <xdr:row>2</xdr:row>
      <xdr:rowOff>175260</xdr:rowOff>
    </xdr:from>
    <xdr:to>
      <xdr:col>13</xdr:col>
      <xdr:colOff>365760</xdr:colOff>
      <xdr:row>13</xdr:row>
      <xdr:rowOff>175260</xdr:rowOff>
    </xdr:to>
    <xdr:graphicFrame macro="">
      <xdr:nvGraphicFramePr>
        <xdr:cNvPr id="3" name="Chart 2">
          <a:extLst>
            <a:ext uri="{FF2B5EF4-FFF2-40B4-BE49-F238E27FC236}">
              <a16:creationId xmlns:a16="http://schemas.microsoft.com/office/drawing/2014/main" id="{33DDB861-ACFB-498C-A6D3-DBF8207514B1}"/>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0</xdr:colOff>
      <xdr:row>14</xdr:row>
      <xdr:rowOff>0</xdr:rowOff>
    </xdr:from>
    <xdr:to>
      <xdr:col>7</xdr:col>
      <xdr:colOff>144780</xdr:colOff>
      <xdr:row>29</xdr:row>
      <xdr:rowOff>0</xdr:rowOff>
    </xdr:to>
    <xdr:graphicFrame macro="">
      <xdr:nvGraphicFramePr>
        <xdr:cNvPr id="4" name="Chart 3">
          <a:extLst>
            <a:ext uri="{FF2B5EF4-FFF2-40B4-BE49-F238E27FC236}">
              <a16:creationId xmlns:a16="http://schemas.microsoft.com/office/drawing/2014/main" id="{9686A36F-33D9-4F8C-AA40-4FC693A87F1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7</xdr:col>
      <xdr:colOff>175260</xdr:colOff>
      <xdr:row>14</xdr:row>
      <xdr:rowOff>22860</xdr:rowOff>
    </xdr:from>
    <xdr:to>
      <xdr:col>13</xdr:col>
      <xdr:colOff>373380</xdr:colOff>
      <xdr:row>29</xdr:row>
      <xdr:rowOff>15240</xdr:rowOff>
    </xdr:to>
    <xdr:graphicFrame macro="">
      <xdr:nvGraphicFramePr>
        <xdr:cNvPr id="5" name="Chart 4">
          <a:extLst>
            <a:ext uri="{FF2B5EF4-FFF2-40B4-BE49-F238E27FC236}">
              <a16:creationId xmlns:a16="http://schemas.microsoft.com/office/drawing/2014/main" id="{82A6010B-8FA3-45F4-A6DB-6E3A7B1372C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persons/person.xml><?xml version="1.0" encoding="utf-8"?>
<personList xmlns="http://schemas.microsoft.com/office/spreadsheetml/2018/threadedcomments" xmlns:x="http://schemas.openxmlformats.org/spreadsheetml/2006/main">
  <person displayName="satyam mishra" id="{8FA43313-FAE3-42A2-8A14-4A33D8537BFD}" userId="445866db8093d9b2" providerId="Windows Live"/>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C3" dT="2026-08-13T17:29:13.55" personId="{8FA43313-FAE3-42A2-8A14-4A33D8537BFD}" id="{2A0C6EEA-3002-4B56-98C0-8D18971384CA}">
    <text xml:space="preserve">Management Guidance
</text>
  </threadedComment>
  <threadedComment ref="D11" dT="2026-08-14T11:17:35.23" personId="{8FA43313-FAE3-42A2-8A14-4A33D8537BFD}" id="{17FDE166-F5E9-47BE-96B7-371B3B417731}">
    <text>3 year Average</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5.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screener.in/exce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455AE-6190-4E29-8F39-88F7B0A70A7F}">
  <sheetPr>
    <tabColor rgb="FF3333FF"/>
  </sheetPr>
  <dimension ref="B2:G13"/>
  <sheetViews>
    <sheetView showGridLines="0" workbookViewId="0">
      <selection activeCell="A9" sqref="A9:XFD9"/>
    </sheetView>
  </sheetViews>
  <sheetFormatPr defaultRowHeight="14.4" x14ac:dyDescent="0.3"/>
  <cols>
    <col min="1" max="1" width="1.88671875" customWidth="1"/>
    <col min="2" max="2" width="25.88671875" customWidth="1"/>
    <col min="3" max="7" width="11.77734375" customWidth="1"/>
  </cols>
  <sheetData>
    <row r="2" spans="2:7" x14ac:dyDescent="0.3">
      <c r="B2" s="25" t="s">
        <v>90</v>
      </c>
      <c r="C2" s="27" t="s">
        <v>91</v>
      </c>
      <c r="D2" s="27" t="s">
        <v>92</v>
      </c>
      <c r="E2" s="27" t="s">
        <v>93</v>
      </c>
      <c r="F2" s="27" t="s">
        <v>94</v>
      </c>
      <c r="G2" s="27" t="s">
        <v>95</v>
      </c>
    </row>
    <row r="3" spans="2:7" x14ac:dyDescent="0.3">
      <c r="B3" s="28" t="s">
        <v>96</v>
      </c>
      <c r="C3" s="35">
        <v>2.5000000000000001E-2</v>
      </c>
      <c r="D3" s="35">
        <v>0.04</v>
      </c>
      <c r="E3" s="35">
        <v>0.05</v>
      </c>
      <c r="F3" s="35">
        <v>0.06</v>
      </c>
      <c r="G3" s="35">
        <v>0.06</v>
      </c>
    </row>
    <row r="4" spans="2:7" x14ac:dyDescent="0.3">
      <c r="B4" s="28" t="s">
        <v>97</v>
      </c>
      <c r="C4" s="35">
        <f>AVERAGE('Historical FS'!$G$10:$L$10)</f>
        <v>0.70713358543205318</v>
      </c>
      <c r="D4" s="35">
        <f>AVERAGE('Historical FS'!$G$10:$L$10)</f>
        <v>0.70713358543205318</v>
      </c>
      <c r="E4" s="35">
        <f>AVERAGE('Historical FS'!$G$10:$L$10)</f>
        <v>0.70713358543205318</v>
      </c>
      <c r="F4" s="35">
        <f>AVERAGE('Historical FS'!$G$10:$L$10)</f>
        <v>0.70713358543205318</v>
      </c>
      <c r="G4" s="35">
        <f>AVERAGE('Historical FS'!$G$10:$L$10)</f>
        <v>0.70713358543205318</v>
      </c>
    </row>
    <row r="5" spans="2:7" x14ac:dyDescent="0.3">
      <c r="B5" s="28"/>
      <c r="C5" s="26"/>
      <c r="D5" s="26"/>
      <c r="E5" s="26"/>
      <c r="F5" s="26"/>
      <c r="G5" s="26"/>
    </row>
    <row r="6" spans="2:7" x14ac:dyDescent="0.3">
      <c r="B6" s="28" t="s">
        <v>98</v>
      </c>
      <c r="C6" s="35">
        <f>AVERAGE('Historical FS'!$H$16:$L$16)</f>
        <v>4.5242602910534578E-2</v>
      </c>
      <c r="D6" s="35">
        <f>AVERAGE('Historical FS'!$H$16:$L$16)</f>
        <v>4.5242602910534578E-2</v>
      </c>
      <c r="E6" s="35">
        <f>AVERAGE('Historical FS'!$H$16:$L$16)</f>
        <v>4.5242602910534578E-2</v>
      </c>
      <c r="F6" s="35">
        <f>AVERAGE('Historical FS'!$H$16:$L$16)</f>
        <v>4.5242602910534578E-2</v>
      </c>
      <c r="G6" s="35">
        <f>AVERAGE('Historical FS'!$H$16:$L$16)</f>
        <v>4.5242602910534578E-2</v>
      </c>
    </row>
    <row r="7" spans="2:7" x14ac:dyDescent="0.3">
      <c r="B7" s="28" t="s">
        <v>99</v>
      </c>
      <c r="C7" s="35">
        <f>'Historical FS'!M28</f>
        <v>2.7126155313085782E-2</v>
      </c>
      <c r="D7" s="35">
        <f>C7</f>
        <v>2.7126155313085782E-2</v>
      </c>
      <c r="E7" s="35">
        <f t="shared" ref="E7:G7" si="0">D7</f>
        <v>2.7126155313085782E-2</v>
      </c>
      <c r="F7" s="35">
        <f t="shared" si="0"/>
        <v>2.7126155313085782E-2</v>
      </c>
      <c r="G7" s="35">
        <f t="shared" si="0"/>
        <v>2.7126155313085782E-2</v>
      </c>
    </row>
    <row r="8" spans="2:7" x14ac:dyDescent="0.3">
      <c r="B8" s="28" t="s">
        <v>100</v>
      </c>
      <c r="C8" s="35">
        <f>AVERAGE('Historical FS'!$H$22:$L$22)</f>
        <v>2.3037207196879646E-3</v>
      </c>
      <c r="D8" s="35">
        <f>AVERAGE('Historical FS'!$H$22:$L$22)</f>
        <v>2.3037207196879646E-3</v>
      </c>
      <c r="E8" s="35">
        <f>AVERAGE('Historical FS'!$H$22:$L$22)</f>
        <v>2.3037207196879646E-3</v>
      </c>
      <c r="F8" s="35">
        <f>AVERAGE('Historical FS'!$H$22:$L$22)</f>
        <v>2.3037207196879646E-3</v>
      </c>
      <c r="G8" s="35">
        <f>AVERAGE('Historical FS'!$H$22:$L$22)</f>
        <v>2.3037207196879646E-3</v>
      </c>
    </row>
    <row r="9" spans="2:7" x14ac:dyDescent="0.3">
      <c r="B9" s="28" t="s">
        <v>101</v>
      </c>
      <c r="C9" s="35">
        <v>0.29499999999999998</v>
      </c>
      <c r="D9" s="35">
        <v>0.29499999999999998</v>
      </c>
      <c r="E9" s="35">
        <v>0.29499999999999998</v>
      </c>
      <c r="F9" s="35">
        <v>0.29499999999999998</v>
      </c>
      <c r="G9" s="35">
        <v>0.29499999999999998</v>
      </c>
    </row>
    <row r="10" spans="2:7" x14ac:dyDescent="0.3">
      <c r="B10" s="28" t="s">
        <v>102</v>
      </c>
      <c r="C10" s="35">
        <f>70%</f>
        <v>0.7</v>
      </c>
      <c r="D10" s="35">
        <f>70%</f>
        <v>0.7</v>
      </c>
      <c r="E10" s="35">
        <f>70%</f>
        <v>0.7</v>
      </c>
      <c r="F10" s="35">
        <f>70%</f>
        <v>0.7</v>
      </c>
      <c r="G10" s="35">
        <f>70%</f>
        <v>0.7</v>
      </c>
    </row>
    <row r="11" spans="2:7" x14ac:dyDescent="0.3">
      <c r="B11" t="s">
        <v>120</v>
      </c>
      <c r="C11" s="41">
        <f>'Historical FS'!L58/'Historical FS'!L6</f>
        <v>0.12247411139098796</v>
      </c>
      <c r="D11" s="35">
        <v>0.1424</v>
      </c>
    </row>
    <row r="12" spans="2:7" x14ac:dyDescent="0.3">
      <c r="B12" t="s">
        <v>121</v>
      </c>
      <c r="C12" s="43"/>
      <c r="D12" s="35">
        <v>0.23480000000000001</v>
      </c>
    </row>
    <row r="13" spans="2:7" x14ac:dyDescent="0.3">
      <c r="B13" t="s">
        <v>122</v>
      </c>
      <c r="C13" s="43">
        <v>71.17</v>
      </c>
    </row>
  </sheetData>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01733F-F0C1-4D46-9214-ADEF7C52E91B}">
  <sheetPr>
    <tabColor rgb="FF92D050"/>
  </sheetPr>
  <dimension ref="A2:G10"/>
  <sheetViews>
    <sheetView showGridLines="0" workbookViewId="0">
      <selection activeCell="D4" sqref="D4"/>
    </sheetView>
  </sheetViews>
  <sheetFormatPr defaultRowHeight="14.4" x14ac:dyDescent="0.3"/>
  <cols>
    <col min="1" max="1" width="15.77734375" style="34" customWidth="1"/>
    <col min="3" max="7" width="11.77734375" customWidth="1"/>
  </cols>
  <sheetData>
    <row r="2" spans="1:7" ht="43.2" x14ac:dyDescent="0.3">
      <c r="A2" s="25" t="s">
        <v>108</v>
      </c>
      <c r="B2" s="27" t="s">
        <v>109</v>
      </c>
      <c r="C2" s="27" t="s">
        <v>110</v>
      </c>
      <c r="D2" s="27" t="s">
        <v>111</v>
      </c>
      <c r="E2" s="27" t="s">
        <v>112</v>
      </c>
      <c r="F2" s="27" t="s">
        <v>113</v>
      </c>
      <c r="G2" s="27" t="s">
        <v>114</v>
      </c>
    </row>
    <row r="3" spans="1:7" x14ac:dyDescent="0.3">
      <c r="A3" s="28" t="s">
        <v>115</v>
      </c>
      <c r="B3" s="32">
        <f>'Historical FS'!L6</f>
        <v>178650</v>
      </c>
      <c r="C3" s="26">
        <f>'Historical FS'!N6</f>
        <v>183116.24999999997</v>
      </c>
      <c r="D3" s="26">
        <f>'Historical FS'!O6</f>
        <v>190440.89999999997</v>
      </c>
      <c r="E3" s="26">
        <f>'Historical FS'!P6</f>
        <v>199962.94499999998</v>
      </c>
      <c r="F3" s="26">
        <f>'Historical FS'!Q6</f>
        <v>211960.72169999999</v>
      </c>
      <c r="G3" s="26">
        <f>'Historical FS'!R6</f>
        <v>224678.36500200001</v>
      </c>
    </row>
    <row r="4" spans="1:7" x14ac:dyDescent="0.3">
      <c r="A4" s="28" t="s">
        <v>116</v>
      </c>
      <c r="B4" s="29">
        <v>1.6400000000000001E-2</v>
      </c>
      <c r="C4" s="35">
        <v>1.4999999999999999E-2</v>
      </c>
      <c r="D4" s="35">
        <v>1.4999999999999999E-2</v>
      </c>
      <c r="E4" s="35">
        <v>1.4999999999999999E-2</v>
      </c>
      <c r="F4" s="35">
        <v>1.4999999999999999E-2</v>
      </c>
      <c r="G4" s="35">
        <v>1.4999999999999999E-2</v>
      </c>
    </row>
    <row r="5" spans="1:7" x14ac:dyDescent="0.3">
      <c r="A5" s="33" t="s">
        <v>117</v>
      </c>
      <c r="B5" s="32">
        <v>2931</v>
      </c>
      <c r="C5" s="36">
        <f>C3*C4</f>
        <v>2746.7437499999996</v>
      </c>
      <c r="D5" s="36">
        <f t="shared" ref="D5:G5" si="0">D3*D4</f>
        <v>2856.6134999999995</v>
      </c>
      <c r="E5" s="36">
        <f t="shared" si="0"/>
        <v>2999.4441749999996</v>
      </c>
      <c r="F5" s="36">
        <f t="shared" si="0"/>
        <v>3179.4108254999996</v>
      </c>
      <c r="G5" s="36">
        <f t="shared" si="0"/>
        <v>3370.1754750300001</v>
      </c>
    </row>
    <row r="6" spans="1:7" x14ac:dyDescent="0.3">
      <c r="A6" s="28"/>
      <c r="B6" s="26"/>
      <c r="C6" s="26"/>
      <c r="D6" s="26"/>
      <c r="E6" s="26"/>
      <c r="F6" s="26"/>
      <c r="G6" s="26"/>
    </row>
    <row r="7" spans="1:7" x14ac:dyDescent="0.3">
      <c r="A7" s="28" t="s">
        <v>118</v>
      </c>
      <c r="B7" s="32"/>
      <c r="C7" s="32">
        <f>B10</f>
        <v>33770</v>
      </c>
      <c r="D7" s="32">
        <f>C10</f>
        <v>31549.503912150158</v>
      </c>
      <c r="E7" s="32">
        <f t="shared" ref="E7:G7" si="1">D10</f>
        <v>29240.187980786315</v>
      </c>
      <c r="F7" s="32">
        <f t="shared" si="1"/>
        <v>26815.406252854285</v>
      </c>
      <c r="G7" s="32">
        <f t="shared" si="1"/>
        <v>24245.137621246333</v>
      </c>
    </row>
    <row r="8" spans="1:7" x14ac:dyDescent="0.3">
      <c r="A8" s="28" t="s">
        <v>117</v>
      </c>
      <c r="B8" s="32">
        <v>2931</v>
      </c>
      <c r="C8" s="32">
        <f>C5</f>
        <v>2746.7437499999996</v>
      </c>
      <c r="D8" s="32">
        <f t="shared" ref="D8:G8" si="2">D5</f>
        <v>2856.6134999999995</v>
      </c>
      <c r="E8" s="32">
        <f t="shared" si="2"/>
        <v>2999.4441749999996</v>
      </c>
      <c r="F8" s="32">
        <f t="shared" si="2"/>
        <v>3179.4108254999996</v>
      </c>
      <c r="G8" s="32">
        <f t="shared" si="2"/>
        <v>3370.1754750300001</v>
      </c>
    </row>
    <row r="9" spans="1:7" x14ac:dyDescent="0.3">
      <c r="A9" s="28" t="s">
        <v>39</v>
      </c>
      <c r="B9" s="32">
        <f>'Historical FS'!L27</f>
        <v>4902</v>
      </c>
      <c r="C9" s="32">
        <f>C3*'Assumption sheet'!C7</f>
        <v>4967.2398378498438</v>
      </c>
      <c r="D9" s="37">
        <f>D3*'Assumption sheet'!D7</f>
        <v>5165.9294313638375</v>
      </c>
      <c r="E9" s="37">
        <f>E3*'Assumption sheet'!E7</f>
        <v>5424.2259029320294</v>
      </c>
      <c r="F9" s="37">
        <f>F3*'Assumption sheet'!F7</f>
        <v>5749.6794571079517</v>
      </c>
      <c r="G9" s="37">
        <f>G3*'Assumption sheet'!G7</f>
        <v>6094.6602245344293</v>
      </c>
    </row>
    <row r="10" spans="1:7" x14ac:dyDescent="0.3">
      <c r="A10" s="33" t="s">
        <v>119</v>
      </c>
      <c r="B10" s="32">
        <f>'Historical FS'!L56</f>
        <v>33770</v>
      </c>
      <c r="C10" s="32">
        <f>C7+C8-C9</f>
        <v>31549.503912150158</v>
      </c>
      <c r="D10" s="32">
        <f t="shared" ref="D10:G10" si="3">D7+D8-D9</f>
        <v>29240.187980786315</v>
      </c>
      <c r="E10" s="32">
        <f t="shared" si="3"/>
        <v>26815.406252854285</v>
      </c>
      <c r="F10" s="32">
        <f t="shared" si="3"/>
        <v>24245.137621246333</v>
      </c>
      <c r="G10" s="32">
        <f t="shared" si="3"/>
        <v>21520.652871741902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86FE0-E86B-4603-8B29-9FFB40162732}">
  <dimension ref="A1:R108"/>
  <sheetViews>
    <sheetView showGridLines="0" zoomScale="86" workbookViewId="0">
      <pane xSplit="2" ySplit="5" topLeftCell="I6" activePane="bottomRight" state="frozen"/>
      <selection pane="topRight" activeCell="C1" sqref="C1"/>
      <selection pane="bottomLeft" activeCell="A6" sqref="A6"/>
      <selection pane="bottomRight" activeCell="N2" sqref="N2:R2"/>
    </sheetView>
  </sheetViews>
  <sheetFormatPr defaultRowHeight="14.4" x14ac:dyDescent="0.3"/>
  <cols>
    <col min="1" max="1" width="1.88671875" customWidth="1"/>
    <col min="2" max="2" width="26.21875" customWidth="1"/>
    <col min="3" max="19" width="14.77734375" customWidth="1"/>
  </cols>
  <sheetData>
    <row r="1" spans="1:18" x14ac:dyDescent="0.3">
      <c r="A1" t="s">
        <v>5</v>
      </c>
    </row>
    <row r="2" spans="1:18" x14ac:dyDescent="0.3">
      <c r="B2" s="65" t="str">
        <f>"Historical Financial Statement-"&amp;'Data Sheet'!B1</f>
        <v>Historical Financial Statement-INFOSYS LTD</v>
      </c>
      <c r="C2" s="65"/>
      <c r="D2" s="65"/>
      <c r="E2" s="65"/>
      <c r="F2" s="65"/>
      <c r="G2" s="65"/>
      <c r="H2" s="65"/>
      <c r="I2" s="65"/>
      <c r="J2" s="65"/>
      <c r="K2" s="65"/>
      <c r="L2" s="65"/>
      <c r="M2" s="65"/>
      <c r="N2" s="63" t="str">
        <f>"Forecasted Statement-"&amp;'Data Sheet'!B1</f>
        <v>Forecasted Statement-INFOSYS LTD</v>
      </c>
      <c r="O2" s="63"/>
      <c r="P2" s="63"/>
      <c r="Q2" s="63"/>
      <c r="R2" s="63"/>
    </row>
    <row r="3" spans="1:18" x14ac:dyDescent="0.3">
      <c r="B3" s="9" t="s">
        <v>10</v>
      </c>
      <c r="C3" s="10">
        <f>'Data Sheet'!B16</f>
        <v>42825</v>
      </c>
      <c r="D3" s="10">
        <f>'Data Sheet'!C16</f>
        <v>43190</v>
      </c>
      <c r="E3" s="10">
        <f>'Data Sheet'!D16</f>
        <v>43555</v>
      </c>
      <c r="F3" s="10">
        <f>'Data Sheet'!E16</f>
        <v>43921</v>
      </c>
      <c r="G3" s="10">
        <f>'Data Sheet'!F16</f>
        <v>44286</v>
      </c>
      <c r="H3" s="10">
        <f>'Data Sheet'!G16</f>
        <v>44651</v>
      </c>
      <c r="I3" s="10">
        <f>'Data Sheet'!H16</f>
        <v>45016</v>
      </c>
      <c r="J3" s="10">
        <f>'Data Sheet'!I16</f>
        <v>45382</v>
      </c>
      <c r="K3" s="10">
        <f>'Data Sheet'!J16</f>
        <v>45747</v>
      </c>
      <c r="L3" s="10">
        <f>'Data Sheet'!K16</f>
        <v>46112</v>
      </c>
      <c r="M3" s="11" t="s">
        <v>63</v>
      </c>
      <c r="N3" s="11" t="s">
        <v>103</v>
      </c>
      <c r="O3" s="11" t="s">
        <v>104</v>
      </c>
      <c r="P3" s="11" t="s">
        <v>105</v>
      </c>
      <c r="Q3" s="11" t="s">
        <v>106</v>
      </c>
      <c r="R3" s="11" t="s">
        <v>107</v>
      </c>
    </row>
    <row r="4" spans="1:18" s="18" customFormat="1" x14ac:dyDescent="0.3">
      <c r="B4" s="19"/>
      <c r="C4" s="20"/>
      <c r="D4" s="20"/>
      <c r="E4" s="20"/>
      <c r="F4" s="20"/>
      <c r="G4" s="20"/>
      <c r="H4" s="20"/>
      <c r="I4" s="20"/>
      <c r="J4" s="20"/>
      <c r="K4" s="20"/>
      <c r="L4" s="20"/>
      <c r="M4" s="21"/>
      <c r="N4" s="22"/>
    </row>
    <row r="5" spans="1:18" x14ac:dyDescent="0.3">
      <c r="A5" t="s">
        <v>6</v>
      </c>
      <c r="B5" s="16" t="s">
        <v>64</v>
      </c>
      <c r="C5" s="17"/>
      <c r="D5" s="17"/>
      <c r="E5" s="17"/>
      <c r="F5" s="17"/>
      <c r="G5" s="17"/>
      <c r="H5" s="17"/>
      <c r="I5" s="17"/>
      <c r="J5" s="17"/>
      <c r="K5" s="17"/>
      <c r="L5" s="17"/>
      <c r="M5" s="17"/>
    </row>
    <row r="6" spans="1:18" x14ac:dyDescent="0.3">
      <c r="B6" t="s">
        <v>42</v>
      </c>
      <c r="C6" s="12">
        <f>IFERROR('Data Sheet'!B17,0)</f>
        <v>68484</v>
      </c>
      <c r="D6" s="12">
        <f>IFERROR('Data Sheet'!C17,0)</f>
        <v>70522</v>
      </c>
      <c r="E6" s="12">
        <f>IFERROR('Data Sheet'!D17,0)</f>
        <v>82675</v>
      </c>
      <c r="F6" s="12">
        <f>IFERROR('Data Sheet'!E17,0)</f>
        <v>90791</v>
      </c>
      <c r="G6" s="12">
        <f>IFERROR('Data Sheet'!F17,0)</f>
        <v>100472</v>
      </c>
      <c r="H6" s="12">
        <f>IFERROR('Data Sheet'!G17,0)</f>
        <v>121641</v>
      </c>
      <c r="I6" s="12">
        <f>IFERROR('Data Sheet'!H17,0)</f>
        <v>146767</v>
      </c>
      <c r="J6" s="12">
        <f>IFERROR('Data Sheet'!I17,0)</f>
        <v>153670</v>
      </c>
      <c r="K6" s="12">
        <f>IFERROR('Data Sheet'!J17,0)</f>
        <v>162990</v>
      </c>
      <c r="L6" s="12">
        <f>IFERROR('Data Sheet'!K17,0)</f>
        <v>178650</v>
      </c>
      <c r="M6" s="12">
        <f>IFERROR(SUM('Data Sheet'!H42:K42),0)</f>
        <v>184582</v>
      </c>
      <c r="N6" s="30">
        <f>L6*(1+'Assumption sheet'!C3)</f>
        <v>183116.24999999997</v>
      </c>
      <c r="O6" s="30">
        <f>N6*(1+'Assumption sheet'!D3)</f>
        <v>190440.89999999997</v>
      </c>
      <c r="P6" s="30">
        <f>O6*(1+'Assumption sheet'!E3)</f>
        <v>199962.94499999998</v>
      </c>
      <c r="Q6" s="30">
        <f>P6*(1+'Assumption sheet'!F3)</f>
        <v>211960.72169999999</v>
      </c>
      <c r="R6" s="30">
        <f>Q6*(1+'Assumption sheet'!G3)</f>
        <v>224678.36500200001</v>
      </c>
    </row>
    <row r="7" spans="1:18" x14ac:dyDescent="0.3">
      <c r="B7" s="13" t="s">
        <v>8</v>
      </c>
      <c r="C7" s="14" t="s">
        <v>65</v>
      </c>
      <c r="D7" s="15">
        <f>D6/C6-1</f>
        <v>2.9758775772443125E-2</v>
      </c>
      <c r="E7" s="15">
        <f t="shared" ref="E7:M7" si="0">E6/D6-1</f>
        <v>0.17232920223476356</v>
      </c>
      <c r="F7" s="15">
        <f t="shared" si="0"/>
        <v>9.8167523435137571E-2</v>
      </c>
      <c r="G7" s="15">
        <f t="shared" si="0"/>
        <v>0.10662951173574475</v>
      </c>
      <c r="H7" s="15">
        <f t="shared" si="0"/>
        <v>0.21069551715900947</v>
      </c>
      <c r="I7" s="15">
        <f t="shared" si="0"/>
        <v>0.20655864387829759</v>
      </c>
      <c r="J7" s="15">
        <f t="shared" si="0"/>
        <v>4.7033733741236095E-2</v>
      </c>
      <c r="K7" s="15">
        <f t="shared" si="0"/>
        <v>6.0649443612936782E-2</v>
      </c>
      <c r="L7" s="15">
        <f t="shared" si="0"/>
        <v>9.6079514080618544E-2</v>
      </c>
      <c r="M7" s="15">
        <f t="shared" si="0"/>
        <v>3.3204589980408539E-2</v>
      </c>
    </row>
    <row r="9" spans="1:18" x14ac:dyDescent="0.3">
      <c r="B9" t="s">
        <v>66</v>
      </c>
      <c r="C9" s="12">
        <f>IFERROR(SUM('Data Sheet'!B18,'Data Sheet'!B20:B22)-1*'Data Sheet'!B19,0)</f>
        <v>44609</v>
      </c>
      <c r="D9" s="12">
        <f>IFERROR(SUM('Data Sheet'!C18,'Data Sheet'!C20:C22)-1*'Data Sheet'!C19,0)</f>
        <v>46395</v>
      </c>
      <c r="E9" s="12">
        <f>IFERROR(SUM('Data Sheet'!D18,'Data Sheet'!D20:D22)-1*'Data Sheet'!D19,0)</f>
        <v>55446</v>
      </c>
      <c r="F9" s="12">
        <f>IFERROR(SUM('Data Sheet'!E18,'Data Sheet'!E20:E22)-1*'Data Sheet'!E19,0)</f>
        <v>62210</v>
      </c>
      <c r="G9" s="12">
        <f>IFERROR(SUM('Data Sheet'!F18,'Data Sheet'!F20:F22)-1*'Data Sheet'!F19,0)</f>
        <v>68490</v>
      </c>
      <c r="H9" s="12">
        <f>IFERROR(SUM('Data Sheet'!G18,'Data Sheet'!G20:G22)-1*'Data Sheet'!G19,0)</f>
        <v>84819</v>
      </c>
      <c r="I9" s="12">
        <f>IFERROR(SUM('Data Sheet'!H18,'Data Sheet'!H20:H22)-1*'Data Sheet'!H19,0)</f>
        <v>104880</v>
      </c>
      <c r="J9" s="12">
        <f>IFERROR(SUM('Data Sheet'!I18,'Data Sheet'!I20:I22)-1*'Data Sheet'!I19,0)</f>
        <v>110030</v>
      </c>
      <c r="K9" s="12">
        <f>IFERROR(SUM('Data Sheet'!J18,'Data Sheet'!J20:J22)-1*'Data Sheet'!J19,0)</f>
        <v>116585</v>
      </c>
      <c r="L9" s="12">
        <f>IFERROR(SUM('Data Sheet'!K18,'Data Sheet'!K20:K22)-1*'Data Sheet'!K19,0)</f>
        <v>128257</v>
      </c>
      <c r="M9" s="12">
        <f>IFERROR(SUM('Data Sheet'!H43:K43),0)</f>
        <v>140837</v>
      </c>
      <c r="N9" s="30">
        <f>N6*'Assumption sheet'!C4</f>
        <v>129487.65041337219</v>
      </c>
      <c r="O9" s="30">
        <f>O6*'Assumption sheet'!D4</f>
        <v>134667.15642990707</v>
      </c>
      <c r="P9" s="30">
        <f>P6*'Assumption sheet'!E4</f>
        <v>141400.51425140243</v>
      </c>
      <c r="Q9" s="30">
        <f>Q6*'Assumption sheet'!F4</f>
        <v>149884.54510648659</v>
      </c>
      <c r="R9" s="30">
        <f>R6*'Assumption sheet'!G4</f>
        <v>158877.6178128758</v>
      </c>
    </row>
    <row r="10" spans="1:18" x14ac:dyDescent="0.3">
      <c r="B10" s="13" t="s">
        <v>67</v>
      </c>
      <c r="C10" s="15">
        <f>C9/C6</f>
        <v>0.65137842415746738</v>
      </c>
      <c r="D10" s="15">
        <f t="shared" ref="D10:L10" si="1">D9/D6</f>
        <v>0.65787981055557132</v>
      </c>
      <c r="E10" s="15">
        <f t="shared" si="1"/>
        <v>0.67065013607499246</v>
      </c>
      <c r="F10" s="15">
        <f t="shared" si="1"/>
        <v>0.68520007489729162</v>
      </c>
      <c r="G10" s="15">
        <f t="shared" si="1"/>
        <v>0.68168245879448996</v>
      </c>
      <c r="H10" s="15">
        <f t="shared" si="1"/>
        <v>0.69728956519594543</v>
      </c>
      <c r="I10" s="15">
        <f t="shared" si="1"/>
        <v>0.71460205632056251</v>
      </c>
      <c r="J10" s="15">
        <f t="shared" si="1"/>
        <v>0.71601483698835167</v>
      </c>
      <c r="K10" s="15">
        <f t="shared" si="1"/>
        <v>0.71528928155101545</v>
      </c>
      <c r="L10" s="15">
        <f t="shared" si="1"/>
        <v>0.71792331374195351</v>
      </c>
    </row>
    <row r="12" spans="1:18" x14ac:dyDescent="0.3">
      <c r="B12" t="s">
        <v>0</v>
      </c>
      <c r="C12" s="12">
        <f>C6-C9</f>
        <v>23875</v>
      </c>
      <c r="D12" s="12">
        <f t="shared" ref="D12:L12" si="2">D6-D9</f>
        <v>24127</v>
      </c>
      <c r="E12" s="12">
        <f t="shared" si="2"/>
        <v>27229</v>
      </c>
      <c r="F12" s="12">
        <f t="shared" si="2"/>
        <v>28581</v>
      </c>
      <c r="G12" s="12">
        <f t="shared" si="2"/>
        <v>31982</v>
      </c>
      <c r="H12" s="12">
        <f t="shared" si="2"/>
        <v>36822</v>
      </c>
      <c r="I12" s="12">
        <f t="shared" si="2"/>
        <v>41887</v>
      </c>
      <c r="J12" s="12">
        <f t="shared" si="2"/>
        <v>43640</v>
      </c>
      <c r="K12" s="12">
        <f t="shared" si="2"/>
        <v>46405</v>
      </c>
      <c r="L12" s="12">
        <f t="shared" si="2"/>
        <v>50393</v>
      </c>
      <c r="M12" s="12">
        <f>M6-M9</f>
        <v>43745</v>
      </c>
      <c r="N12" s="12">
        <f>N6-N9</f>
        <v>53628.599586627781</v>
      </c>
      <c r="O12" s="12">
        <f t="shared" ref="O12:R12" si="3">O6-O9</f>
        <v>55773.743570092891</v>
      </c>
      <c r="P12" s="12">
        <f t="shared" si="3"/>
        <v>58562.430748597544</v>
      </c>
      <c r="Q12" s="12">
        <f t="shared" si="3"/>
        <v>62076.176593513403</v>
      </c>
      <c r="R12" s="12">
        <f t="shared" si="3"/>
        <v>65800.747189124202</v>
      </c>
    </row>
    <row r="13" spans="1:18" x14ac:dyDescent="0.3">
      <c r="B13" s="13" t="s">
        <v>9</v>
      </c>
      <c r="C13" s="15">
        <f>C12/C6</f>
        <v>0.34862157584253256</v>
      </c>
      <c r="D13" s="15">
        <f t="shared" ref="D13:M13" si="4">D12/D6</f>
        <v>0.34212018944442868</v>
      </c>
      <c r="E13" s="15">
        <f t="shared" si="4"/>
        <v>0.32934986392500754</v>
      </c>
      <c r="F13" s="15">
        <f t="shared" si="4"/>
        <v>0.31479992510270843</v>
      </c>
      <c r="G13" s="15">
        <f t="shared" si="4"/>
        <v>0.31831754120550998</v>
      </c>
      <c r="H13" s="15">
        <f t="shared" si="4"/>
        <v>0.30271043480405457</v>
      </c>
      <c r="I13" s="15">
        <f t="shared" si="4"/>
        <v>0.28539794367943749</v>
      </c>
      <c r="J13" s="15">
        <f t="shared" si="4"/>
        <v>0.28398516301164833</v>
      </c>
      <c r="K13" s="15">
        <f t="shared" si="4"/>
        <v>0.2847107184489846</v>
      </c>
      <c r="L13" s="15">
        <f t="shared" si="4"/>
        <v>0.28207668625804644</v>
      </c>
      <c r="M13" s="15">
        <f t="shared" si="4"/>
        <v>0.23699493991830189</v>
      </c>
    </row>
    <row r="15" spans="1:18" x14ac:dyDescent="0.3">
      <c r="B15" t="s">
        <v>68</v>
      </c>
      <c r="C15" s="12">
        <f>IFERROR(SUM('Data Sheet'!B23:B24),0)</f>
        <v>5271</v>
      </c>
      <c r="D15" s="12">
        <f>IFERROR(SUM('Data Sheet'!C23:C24),0)</f>
        <v>5305</v>
      </c>
      <c r="E15" s="12">
        <f>IFERROR(SUM('Data Sheet'!D23:D24),0)</f>
        <v>7059</v>
      </c>
      <c r="F15" s="12">
        <f>IFERROR(SUM('Data Sheet'!E23:E24),0)</f>
        <v>6314</v>
      </c>
      <c r="G15" s="12">
        <f>IFERROR(SUM('Data Sheet'!F23:F24),0)</f>
        <v>4093</v>
      </c>
      <c r="H15" s="12">
        <f>IFERROR(SUM('Data Sheet'!G23:G24),0)</f>
        <v>5331</v>
      </c>
      <c r="I15" s="12">
        <f>IFERROR(SUM('Data Sheet'!H23:H24),0)</f>
        <v>6757</v>
      </c>
      <c r="J15" s="12">
        <f>IFERROR(SUM('Data Sheet'!I23:I24),0)</f>
        <v>7215</v>
      </c>
      <c r="K15" s="12">
        <f>IFERROR(SUM('Data Sheet'!J23:J24),0)</f>
        <v>7169</v>
      </c>
      <c r="L15" s="12">
        <f>IFERROR(SUM('Data Sheet'!K23:K24),0)</f>
        <v>8113</v>
      </c>
      <c r="M15" t="s">
        <v>65</v>
      </c>
      <c r="N15" s="30">
        <f>N6*'Assumption sheet'!C6</f>
        <v>8284.6557852161768</v>
      </c>
      <c r="O15" s="30">
        <f>O6*'Assumption sheet'!D6</f>
        <v>8616.0420166248223</v>
      </c>
      <c r="P15" s="30">
        <f>P6*'Assumption sheet'!E6</f>
        <v>9046.8441174560649</v>
      </c>
      <c r="Q15" s="30">
        <f>Q6*'Assumption sheet'!F6</f>
        <v>9589.6547645034298</v>
      </c>
      <c r="R15" s="30">
        <f>R6*'Assumption sheet'!G6</f>
        <v>10165.034050373635</v>
      </c>
    </row>
    <row r="16" spans="1:18" x14ac:dyDescent="0.3">
      <c r="B16" s="13" t="s">
        <v>69</v>
      </c>
      <c r="C16" s="15">
        <f>C15/C6</f>
        <v>7.6966882775538814E-2</v>
      </c>
      <c r="D16" s="15">
        <f t="shared" ref="D16:L16" si="5">D15/D6</f>
        <v>7.5224752559484978E-2</v>
      </c>
      <c r="E16" s="15">
        <f t="shared" si="5"/>
        <v>8.5382521923193233E-2</v>
      </c>
      <c r="F16" s="15">
        <f t="shared" si="5"/>
        <v>6.9544338095185648E-2</v>
      </c>
      <c r="G16" s="15">
        <f t="shared" si="5"/>
        <v>4.0737717971176049E-2</v>
      </c>
      <c r="H16" s="15">
        <f t="shared" si="5"/>
        <v>4.3825683774385282E-2</v>
      </c>
      <c r="I16" s="15">
        <f t="shared" si="5"/>
        <v>4.6038959711651804E-2</v>
      </c>
      <c r="J16" s="15">
        <f t="shared" si="5"/>
        <v>4.6951259191774584E-2</v>
      </c>
      <c r="K16" s="15">
        <f t="shared" si="5"/>
        <v>4.3984293514939564E-2</v>
      </c>
      <c r="L16" s="15">
        <f t="shared" si="5"/>
        <v>4.5412818359921635E-2</v>
      </c>
    </row>
    <row r="18" spans="2:18" x14ac:dyDescent="0.3">
      <c r="B18" t="s">
        <v>1</v>
      </c>
      <c r="C18" s="12">
        <f>C12-C15</f>
        <v>18604</v>
      </c>
      <c r="D18" s="12">
        <f t="shared" ref="D18:K18" si="6">D12-D15</f>
        <v>18822</v>
      </c>
      <c r="E18" s="12">
        <f t="shared" si="6"/>
        <v>20170</v>
      </c>
      <c r="F18" s="12">
        <f t="shared" si="6"/>
        <v>22267</v>
      </c>
      <c r="G18" s="12">
        <f t="shared" si="6"/>
        <v>27889</v>
      </c>
      <c r="H18" s="12">
        <f t="shared" si="6"/>
        <v>31491</v>
      </c>
      <c r="I18" s="12">
        <f t="shared" si="6"/>
        <v>35130</v>
      </c>
      <c r="J18" s="12">
        <f t="shared" si="6"/>
        <v>36425</v>
      </c>
      <c r="K18" s="12">
        <f t="shared" si="6"/>
        <v>39236</v>
      </c>
      <c r="L18" s="12">
        <f>L12-L15</f>
        <v>42280</v>
      </c>
      <c r="M18" s="12" cm="1">
        <f t="array" ref="M18">IFERROR(SUM('Data Sheet'!H50:K50+'Data Sheet'!H45:K45),0)</f>
        <v>48752</v>
      </c>
      <c r="N18" s="30">
        <f>N12-N15</f>
        <v>45343.943801411602</v>
      </c>
      <c r="O18" s="30">
        <f t="shared" ref="O18:R18" si="7">O12-O15</f>
        <v>47157.701553468069</v>
      </c>
      <c r="P18" s="30">
        <f t="shared" si="7"/>
        <v>49515.586631141479</v>
      </c>
      <c r="Q18" s="30">
        <f t="shared" si="7"/>
        <v>52486.521829009973</v>
      </c>
      <c r="R18" s="30">
        <f t="shared" si="7"/>
        <v>55635.713138750565</v>
      </c>
    </row>
    <row r="19" spans="2:18" x14ac:dyDescent="0.3">
      <c r="B19" s="13" t="s">
        <v>70</v>
      </c>
      <c r="C19" s="15">
        <f>C18/C6</f>
        <v>0.27165469306699375</v>
      </c>
      <c r="D19" s="15">
        <f t="shared" ref="D19:M19" si="8">D18/D6</f>
        <v>0.26689543688494372</v>
      </c>
      <c r="E19" s="15">
        <f t="shared" si="8"/>
        <v>0.24396734200181433</v>
      </c>
      <c r="F19" s="15">
        <f t="shared" si="8"/>
        <v>0.24525558700752279</v>
      </c>
      <c r="G19" s="15">
        <f t="shared" si="8"/>
        <v>0.27757982323433394</v>
      </c>
      <c r="H19" s="15">
        <f t="shared" si="8"/>
        <v>0.25888475102966929</v>
      </c>
      <c r="I19" s="15">
        <f t="shared" si="8"/>
        <v>0.23935898396778568</v>
      </c>
      <c r="J19" s="15">
        <f t="shared" si="8"/>
        <v>0.23703390381987374</v>
      </c>
      <c r="K19" s="15">
        <f t="shared" si="8"/>
        <v>0.24072642493404503</v>
      </c>
      <c r="L19" s="15">
        <f t="shared" si="8"/>
        <v>0.23666386789812482</v>
      </c>
      <c r="M19" s="15">
        <f t="shared" si="8"/>
        <v>0.26412109523138766</v>
      </c>
    </row>
    <row r="21" spans="2:18" x14ac:dyDescent="0.3">
      <c r="B21" t="s">
        <v>4</v>
      </c>
      <c r="C21" s="12">
        <f>IFERROR('Data Sheet'!B27,0)</f>
        <v>0</v>
      </c>
      <c r="D21" s="12">
        <f>IFERROR('Data Sheet'!C27,0)</f>
        <v>0</v>
      </c>
      <c r="E21" s="12">
        <f>IFERROR('Data Sheet'!D27,0)</f>
        <v>0</v>
      </c>
      <c r="F21" s="12">
        <f>IFERROR('Data Sheet'!E27,0)</f>
        <v>170</v>
      </c>
      <c r="G21" s="12">
        <f>IFERROR('Data Sheet'!F27,0)</f>
        <v>195</v>
      </c>
      <c r="H21" s="12">
        <f>IFERROR('Data Sheet'!G27,0)</f>
        <v>200</v>
      </c>
      <c r="I21" s="12">
        <f>IFERROR('Data Sheet'!H27,0)</f>
        <v>284</v>
      </c>
      <c r="J21" s="12">
        <f>IFERROR('Data Sheet'!I27,0)</f>
        <v>470</v>
      </c>
      <c r="K21" s="12">
        <f>IFERROR('Data Sheet'!J27,0)</f>
        <v>416</v>
      </c>
      <c r="L21" s="12">
        <f>IFERROR('Data Sheet'!K27,0)</f>
        <v>416</v>
      </c>
      <c r="M21" s="12">
        <f>IFERROR(SUM('Data Sheet'!H46:K46),0)</f>
        <v>430</v>
      </c>
      <c r="N21" s="30">
        <f>N6*'Assumption sheet'!C8</f>
        <v>421.84869923656117</v>
      </c>
      <c r="O21" s="30">
        <f>O6*'Assumption sheet'!D8</f>
        <v>438.72264720602362</v>
      </c>
      <c r="P21" s="30">
        <f>P6*'Assumption sheet'!E8</f>
        <v>460.65877956632482</v>
      </c>
      <c r="Q21" s="30">
        <f>Q6*'Assumption sheet'!F8</f>
        <v>488.29830634030435</v>
      </c>
      <c r="R21" s="30">
        <f>R6*'Assumption sheet'!G8</f>
        <v>517.59620472072265</v>
      </c>
    </row>
    <row r="22" spans="2:18" x14ac:dyDescent="0.3">
      <c r="B22" s="13" t="s">
        <v>71</v>
      </c>
      <c r="C22" s="15">
        <f>C21/C6</f>
        <v>0</v>
      </c>
      <c r="D22" s="15">
        <f t="shared" ref="D22:M22" si="9">D21/D6</f>
        <v>0</v>
      </c>
      <c r="E22" s="15">
        <f t="shared" si="9"/>
        <v>0</v>
      </c>
      <c r="F22" s="15">
        <f t="shared" si="9"/>
        <v>1.8724322895441179E-3</v>
      </c>
      <c r="G22" s="15">
        <f t="shared" si="9"/>
        <v>1.9408392387928975E-3</v>
      </c>
      <c r="H22" s="15">
        <f t="shared" si="9"/>
        <v>1.6441824713706726E-3</v>
      </c>
      <c r="I22" s="15">
        <f t="shared" si="9"/>
        <v>1.9350398931639945E-3</v>
      </c>
      <c r="J22" s="15">
        <f t="shared" si="9"/>
        <v>3.0585019847725646E-3</v>
      </c>
      <c r="K22" s="15">
        <f t="shared" si="9"/>
        <v>2.5523038223203877E-3</v>
      </c>
      <c r="L22" s="15">
        <f t="shared" si="9"/>
        <v>2.3285754268122026E-3</v>
      </c>
      <c r="M22" s="15">
        <f t="shared" si="9"/>
        <v>2.3295879338180322E-3</v>
      </c>
    </row>
    <row r="23" spans="2:18" x14ac:dyDescent="0.3">
      <c r="B23" s="13"/>
      <c r="C23" s="15"/>
      <c r="D23" s="15"/>
      <c r="E23" s="15"/>
      <c r="F23" s="15"/>
      <c r="G23" s="15"/>
      <c r="H23" s="15"/>
      <c r="I23" s="15"/>
      <c r="J23" s="15"/>
      <c r="K23" s="15"/>
      <c r="L23" s="15"/>
      <c r="M23" s="15"/>
    </row>
    <row r="24" spans="2:18" x14ac:dyDescent="0.3">
      <c r="B24" t="s">
        <v>138</v>
      </c>
      <c r="C24" s="12">
        <f>C18-C21</f>
        <v>18604</v>
      </c>
      <c r="D24" s="12">
        <f t="shared" ref="D24:R24" si="10">D18-D21</f>
        <v>18822</v>
      </c>
      <c r="E24" s="12">
        <f t="shared" si="10"/>
        <v>20170</v>
      </c>
      <c r="F24" s="12">
        <f t="shared" si="10"/>
        <v>22097</v>
      </c>
      <c r="G24" s="12">
        <f t="shared" si="10"/>
        <v>27694</v>
      </c>
      <c r="H24" s="12">
        <f t="shared" si="10"/>
        <v>31291</v>
      </c>
      <c r="I24" s="12">
        <f t="shared" si="10"/>
        <v>34846</v>
      </c>
      <c r="J24" s="12">
        <f t="shared" si="10"/>
        <v>35955</v>
      </c>
      <c r="K24" s="12">
        <f t="shared" si="10"/>
        <v>38820</v>
      </c>
      <c r="L24" s="12">
        <f t="shared" si="10"/>
        <v>41864</v>
      </c>
      <c r="M24" s="12">
        <f t="shared" si="10"/>
        <v>48322</v>
      </c>
      <c r="N24" s="12">
        <f t="shared" si="10"/>
        <v>44922.095102175044</v>
      </c>
      <c r="O24" s="12">
        <f t="shared" si="10"/>
        <v>46718.978906262048</v>
      </c>
      <c r="P24" s="12">
        <f t="shared" si="10"/>
        <v>49054.927851575158</v>
      </c>
      <c r="Q24" s="12">
        <f t="shared" si="10"/>
        <v>51998.223522669672</v>
      </c>
      <c r="R24" s="12">
        <f t="shared" si="10"/>
        <v>55118.116934029844</v>
      </c>
    </row>
    <row r="25" spans="2:18" x14ac:dyDescent="0.3">
      <c r="B25" s="13" t="s">
        <v>125</v>
      </c>
      <c r="C25" s="12"/>
      <c r="D25" s="15">
        <f>D24/C24-1</f>
        <v>1.1717910126854525E-2</v>
      </c>
      <c r="E25" s="15">
        <f t="shared" ref="E25:M25" si="11">E24/D24-1</f>
        <v>7.1618318988417862E-2</v>
      </c>
      <c r="F25" s="15">
        <f t="shared" si="11"/>
        <v>9.5537927615270135E-2</v>
      </c>
      <c r="G25" s="15">
        <f t="shared" si="11"/>
        <v>0.25329230212246001</v>
      </c>
      <c r="H25" s="15">
        <f t="shared" si="11"/>
        <v>0.12988372932765224</v>
      </c>
      <c r="I25" s="15">
        <f t="shared" si="11"/>
        <v>0.11361094244351411</v>
      </c>
      <c r="J25" s="15">
        <f t="shared" si="11"/>
        <v>3.1825747575044527E-2</v>
      </c>
      <c r="K25" s="15">
        <f t="shared" si="11"/>
        <v>7.9682937004589061E-2</v>
      </c>
      <c r="L25" s="15">
        <f t="shared" si="11"/>
        <v>7.8413189077795042E-2</v>
      </c>
      <c r="M25" s="15">
        <f t="shared" si="11"/>
        <v>0.1542614179247086</v>
      </c>
      <c r="N25" s="12"/>
      <c r="O25" s="12"/>
      <c r="P25" s="12"/>
      <c r="Q25" s="12"/>
      <c r="R25" s="12"/>
    </row>
    <row r="27" spans="2:18" x14ac:dyDescent="0.3">
      <c r="B27" t="s">
        <v>2</v>
      </c>
      <c r="C27" s="12">
        <f>IFERROR('Data Sheet'!B26,0)</f>
        <v>1703</v>
      </c>
      <c r="D27" s="12">
        <f>IFERROR('Data Sheet'!C26,0)</f>
        <v>1863</v>
      </c>
      <c r="E27" s="12">
        <f>IFERROR('Data Sheet'!D26,0)</f>
        <v>2011</v>
      </c>
      <c r="F27" s="12">
        <f>IFERROR('Data Sheet'!E26,0)</f>
        <v>2893</v>
      </c>
      <c r="G27" s="12">
        <f>IFERROR('Data Sheet'!F26,0)</f>
        <v>3267</v>
      </c>
      <c r="H27" s="12">
        <f>IFERROR('Data Sheet'!G26,0)</f>
        <v>3476</v>
      </c>
      <c r="I27" s="12">
        <f>IFERROR('Data Sheet'!H26,0)</f>
        <v>4225</v>
      </c>
      <c r="J27" s="12">
        <f>IFERROR('Data Sheet'!I26,0)</f>
        <v>4678</v>
      </c>
      <c r="K27" s="12">
        <f>IFERROR('Data Sheet'!J26,0)</f>
        <v>4812</v>
      </c>
      <c r="L27" s="12">
        <f>IFERROR('Data Sheet'!K26,0)</f>
        <v>4902</v>
      </c>
      <c r="M27" s="12">
        <f>IFERROR(SUM('Data Sheet'!H45:K45),0)</f>
        <v>5007</v>
      </c>
      <c r="N27" s="31">
        <f>'Capex Schedule'!C9</f>
        <v>4967.2398378498438</v>
      </c>
      <c r="O27" s="31">
        <f>'Capex Schedule'!D9</f>
        <v>5165.9294313638375</v>
      </c>
      <c r="P27" s="31">
        <f>'Capex Schedule'!E9</f>
        <v>5424.2259029320294</v>
      </c>
      <c r="Q27" s="31">
        <f>'Capex Schedule'!F9</f>
        <v>5749.6794571079517</v>
      </c>
      <c r="R27" s="31">
        <f>'Capex Schedule'!G9</f>
        <v>6094.6602245344293</v>
      </c>
    </row>
    <row r="28" spans="2:18" x14ac:dyDescent="0.3">
      <c r="B28" s="13" t="s">
        <v>72</v>
      </c>
      <c r="C28" s="15">
        <f>C27/C6</f>
        <v>2.4867122247532271E-2</v>
      </c>
      <c r="D28" s="15">
        <f t="shared" ref="D28:M28" si="12">D27/D6</f>
        <v>2.6417288222115084E-2</v>
      </c>
      <c r="E28" s="15">
        <f t="shared" si="12"/>
        <v>2.4324160870879952E-2</v>
      </c>
      <c r="F28" s="15">
        <f t="shared" si="12"/>
        <v>3.1864391845006661E-2</v>
      </c>
      <c r="G28" s="15">
        <f t="shared" si="12"/>
        <v>3.2516522016084085E-2</v>
      </c>
      <c r="H28" s="15">
        <f t="shared" si="12"/>
        <v>2.8575891352422292E-2</v>
      </c>
      <c r="I28" s="15">
        <f t="shared" si="12"/>
        <v>2.8787125171189708E-2</v>
      </c>
      <c r="J28" s="15">
        <f t="shared" si="12"/>
        <v>3.0441855925034164E-2</v>
      </c>
      <c r="K28" s="15">
        <f t="shared" si="12"/>
        <v>2.9523283637032948E-2</v>
      </c>
      <c r="L28" s="15">
        <f t="shared" si="12"/>
        <v>2.7439126784214944E-2</v>
      </c>
      <c r="M28" s="15">
        <f t="shared" si="12"/>
        <v>2.7126155313085782E-2</v>
      </c>
    </row>
    <row r="30" spans="2:18" x14ac:dyDescent="0.3">
      <c r="B30" t="s">
        <v>3</v>
      </c>
      <c r="C30" s="12">
        <f>IFERROR(C18-SUM(C21+C27),0)</f>
        <v>16901</v>
      </c>
      <c r="D30" s="12">
        <f t="shared" ref="D30:M30" si="13">IFERROR(D18-SUM(D21+D27),0)</f>
        <v>16959</v>
      </c>
      <c r="E30" s="12">
        <f t="shared" si="13"/>
        <v>18159</v>
      </c>
      <c r="F30" s="12">
        <f t="shared" si="13"/>
        <v>19204</v>
      </c>
      <c r="G30" s="12">
        <f t="shared" si="13"/>
        <v>24427</v>
      </c>
      <c r="H30" s="12">
        <f t="shared" si="13"/>
        <v>27815</v>
      </c>
      <c r="I30" s="12">
        <f t="shared" si="13"/>
        <v>30621</v>
      </c>
      <c r="J30" s="12">
        <f t="shared" si="13"/>
        <v>31277</v>
      </c>
      <c r="K30" s="12">
        <f t="shared" si="13"/>
        <v>34008</v>
      </c>
      <c r="L30" s="12">
        <f t="shared" si="13"/>
        <v>36962</v>
      </c>
      <c r="M30" s="12">
        <f t="shared" si="13"/>
        <v>43315</v>
      </c>
      <c r="N30" s="30">
        <f>N18-N21-N27</f>
        <v>39954.855264325204</v>
      </c>
      <c r="O30" s="30">
        <f t="shared" ref="O30:R30" si="14">O18-O21-O27</f>
        <v>41553.049474898209</v>
      </c>
      <c r="P30" s="30">
        <f t="shared" si="14"/>
        <v>43630.701948643131</v>
      </c>
      <c r="Q30" s="30">
        <f t="shared" si="14"/>
        <v>46248.54406556172</v>
      </c>
      <c r="R30" s="30">
        <f t="shared" si="14"/>
        <v>49023.456709495411</v>
      </c>
    </row>
    <row r="31" spans="2:18" x14ac:dyDescent="0.3">
      <c r="B31" s="13" t="s">
        <v>73</v>
      </c>
      <c r="C31" s="15">
        <f>C30/C6</f>
        <v>0.24678757081946148</v>
      </c>
      <c r="D31" s="15">
        <f t="shared" ref="D31:M31" si="15">D30/D6</f>
        <v>0.24047814866282863</v>
      </c>
      <c r="E31" s="15">
        <f t="shared" si="15"/>
        <v>0.2196431811309344</v>
      </c>
      <c r="F31" s="15">
        <f t="shared" si="15"/>
        <v>0.211518762872972</v>
      </c>
      <c r="G31" s="15">
        <f t="shared" si="15"/>
        <v>0.24312246197945697</v>
      </c>
      <c r="H31" s="15">
        <f t="shared" si="15"/>
        <v>0.2286646772058763</v>
      </c>
      <c r="I31" s="15">
        <f t="shared" si="15"/>
        <v>0.20863681890343197</v>
      </c>
      <c r="J31" s="15">
        <f t="shared" si="15"/>
        <v>0.20353354591006703</v>
      </c>
      <c r="K31" s="15">
        <f t="shared" si="15"/>
        <v>0.20865083747469171</v>
      </c>
      <c r="L31" s="15">
        <f t="shared" si="15"/>
        <v>0.20689616568709768</v>
      </c>
      <c r="M31" s="15">
        <f t="shared" si="15"/>
        <v>0.23466535198448385</v>
      </c>
    </row>
    <row r="33" spans="2:18" x14ac:dyDescent="0.3">
      <c r="B33" t="s">
        <v>37</v>
      </c>
      <c r="C33" s="12">
        <f>IFERROR('Data Sheet'!B29,0)</f>
        <v>5598</v>
      </c>
      <c r="D33" s="12">
        <f>IFERROR('Data Sheet'!C29,0)</f>
        <v>4241</v>
      </c>
      <c r="E33" s="12">
        <f>IFERROR('Data Sheet'!D29,0)</f>
        <v>5631</v>
      </c>
      <c r="F33" s="12">
        <f>IFERROR('Data Sheet'!E29,0)</f>
        <v>5368</v>
      </c>
      <c r="G33" s="12">
        <f>IFERROR('Data Sheet'!F29,0)</f>
        <v>7205</v>
      </c>
      <c r="H33" s="12">
        <f>IFERROR('Data Sheet'!G29,0)</f>
        <v>7964</v>
      </c>
      <c r="I33" s="12">
        <f>IFERROR('Data Sheet'!H29,0)</f>
        <v>9214</v>
      </c>
      <c r="J33" s="12">
        <f>IFERROR('Data Sheet'!I29,0)</f>
        <v>9740</v>
      </c>
      <c r="K33" s="12">
        <f>IFERROR('Data Sheet'!J29,0)</f>
        <v>10858</v>
      </c>
      <c r="L33" s="12">
        <f>IFERROR('Data Sheet'!K29,0)</f>
        <v>10521</v>
      </c>
      <c r="M33" s="12">
        <f>IFERROR(SUM('Data Sheet'!H48:K48),0)</f>
        <v>10958</v>
      </c>
      <c r="N33" s="30">
        <f>N30*'Assumption sheet'!C9</f>
        <v>11786.682302975934</v>
      </c>
      <c r="O33" s="30">
        <f>O30*'Assumption sheet'!D9</f>
        <v>12258.14959509497</v>
      </c>
      <c r="P33" s="30">
        <f>P30*'Assumption sheet'!E9</f>
        <v>12871.057074849723</v>
      </c>
      <c r="Q33" s="30">
        <f>Q30*'Assumption sheet'!F9</f>
        <v>13643.320499340707</v>
      </c>
      <c r="R33" s="30">
        <f>R30*'Assumption sheet'!G9</f>
        <v>14461.919729301146</v>
      </c>
    </row>
    <row r="34" spans="2:18" x14ac:dyDescent="0.3">
      <c r="B34" s="13" t="s">
        <v>74</v>
      </c>
      <c r="C34" s="15">
        <f>C33/C30</f>
        <v>0.33122300455594345</v>
      </c>
      <c r="D34" s="15">
        <f t="shared" ref="D34:M34" si="16">D33/D30</f>
        <v>0.25007370717613064</v>
      </c>
      <c r="E34" s="15">
        <f t="shared" si="16"/>
        <v>0.31009416818106722</v>
      </c>
      <c r="F34" s="15">
        <f t="shared" si="16"/>
        <v>0.27952509893772132</v>
      </c>
      <c r="G34" s="15">
        <f t="shared" si="16"/>
        <v>0.29496049453473616</v>
      </c>
      <c r="H34" s="15">
        <f t="shared" si="16"/>
        <v>0.28632033075678592</v>
      </c>
      <c r="I34" s="15">
        <f t="shared" si="16"/>
        <v>0.30090460794879331</v>
      </c>
      <c r="J34" s="15">
        <f t="shared" si="16"/>
        <v>0.31141094094702176</v>
      </c>
      <c r="K34" s="15">
        <f t="shared" si="16"/>
        <v>0.31927781698423902</v>
      </c>
      <c r="L34" s="15">
        <f t="shared" si="16"/>
        <v>0.28464368811211516</v>
      </c>
      <c r="M34" s="15">
        <f t="shared" si="16"/>
        <v>0.25298395475008656</v>
      </c>
    </row>
    <row r="36" spans="2:18" x14ac:dyDescent="0.3">
      <c r="B36" t="s">
        <v>75</v>
      </c>
      <c r="C36" s="12">
        <f>IFERROR(C30-C33,0)</f>
        <v>11303</v>
      </c>
      <c r="D36" s="12">
        <f t="shared" ref="D36:M36" si="17">IFERROR(D30-D33,0)</f>
        <v>12718</v>
      </c>
      <c r="E36" s="12">
        <f t="shared" si="17"/>
        <v>12528</v>
      </c>
      <c r="F36" s="12">
        <f t="shared" si="17"/>
        <v>13836</v>
      </c>
      <c r="G36" s="12">
        <f t="shared" si="17"/>
        <v>17222</v>
      </c>
      <c r="H36" s="12">
        <f t="shared" si="17"/>
        <v>19851</v>
      </c>
      <c r="I36" s="12">
        <f t="shared" si="17"/>
        <v>21407</v>
      </c>
      <c r="J36" s="12">
        <f t="shared" si="17"/>
        <v>21537</v>
      </c>
      <c r="K36" s="12">
        <f t="shared" si="17"/>
        <v>23150</v>
      </c>
      <c r="L36" s="12">
        <f t="shared" si="17"/>
        <v>26441</v>
      </c>
      <c r="M36" s="12">
        <f t="shared" si="17"/>
        <v>32357</v>
      </c>
      <c r="N36" s="30">
        <f>N30-N33</f>
        <v>28168.172961349272</v>
      </c>
      <c r="O36" s="30">
        <f t="shared" ref="O36:R36" si="18">O30-O33</f>
        <v>29294.899879803241</v>
      </c>
      <c r="P36" s="30">
        <f t="shared" si="18"/>
        <v>30759.644873793408</v>
      </c>
      <c r="Q36" s="30">
        <f t="shared" si="18"/>
        <v>32605.223566221015</v>
      </c>
      <c r="R36" s="30">
        <f t="shared" si="18"/>
        <v>34561.536980194265</v>
      </c>
    </row>
    <row r="37" spans="2:18" x14ac:dyDescent="0.3">
      <c r="B37" t="s">
        <v>76</v>
      </c>
      <c r="C37" s="15">
        <f>C36/C6</f>
        <v>0.16504585012557677</v>
      </c>
      <c r="D37" s="15">
        <f t="shared" ref="D37:R37" si="19">D36/D6</f>
        <v>0.18034088653186239</v>
      </c>
      <c r="E37" s="15">
        <f t="shared" si="19"/>
        <v>0.1515331115814938</v>
      </c>
      <c r="F37" s="15">
        <f t="shared" si="19"/>
        <v>0.15239395975372008</v>
      </c>
      <c r="G37" s="15">
        <f t="shared" si="19"/>
        <v>0.17141094036149376</v>
      </c>
      <c r="H37" s="15">
        <f t="shared" si="19"/>
        <v>0.16319333119589613</v>
      </c>
      <c r="I37" s="15">
        <f t="shared" si="19"/>
        <v>0.14585703870761138</v>
      </c>
      <c r="J37" s="15">
        <f t="shared" si="19"/>
        <v>0.14015097286392919</v>
      </c>
      <c r="K37" s="15">
        <f t="shared" si="19"/>
        <v>0.14203325357383889</v>
      </c>
      <c r="L37" s="15">
        <f t="shared" si="19"/>
        <v>0.14800447802966696</v>
      </c>
      <c r="M37" s="15">
        <f t="shared" si="19"/>
        <v>0.17529878319662806</v>
      </c>
      <c r="N37" s="15">
        <f t="shared" si="19"/>
        <v>0.15382672461537017</v>
      </c>
      <c r="O37" s="15">
        <f t="shared" si="19"/>
        <v>0.15382672461537014</v>
      </c>
      <c r="P37" s="15">
        <f t="shared" si="19"/>
        <v>0.15382672461537017</v>
      </c>
      <c r="Q37" s="15">
        <f t="shared" si="19"/>
        <v>0.15382672461537017</v>
      </c>
      <c r="R37" s="15">
        <f t="shared" si="19"/>
        <v>0.15382672461537011</v>
      </c>
    </row>
    <row r="39" spans="2:18" x14ac:dyDescent="0.3">
      <c r="B39" t="s">
        <v>22</v>
      </c>
      <c r="C39">
        <f>IFERROR('Data Sheet'!B93,0)</f>
        <v>459.39</v>
      </c>
      <c r="D39">
        <f>IFERROR('Data Sheet'!C93,0)</f>
        <v>436.82</v>
      </c>
      <c r="E39">
        <f>IFERROR('Data Sheet'!D93,0)</f>
        <v>436.89</v>
      </c>
      <c r="F39">
        <f>IFERROR('Data Sheet'!E93,0)</f>
        <v>425.9</v>
      </c>
      <c r="G39">
        <f>IFERROR('Data Sheet'!F93,0)</f>
        <v>426.07</v>
      </c>
      <c r="H39">
        <f>IFERROR('Data Sheet'!G93,0)</f>
        <v>420.67</v>
      </c>
      <c r="I39">
        <f>IFERROR('Data Sheet'!H93,0)</f>
        <v>414.86</v>
      </c>
      <c r="J39">
        <f>IFERROR('Data Sheet'!I93,0)</f>
        <v>415.09</v>
      </c>
      <c r="K39">
        <f>IFERROR('Data Sheet'!J93,0)</f>
        <v>415.33</v>
      </c>
      <c r="L39">
        <f>IFERROR('Data Sheet'!K93,0)</f>
        <v>405.56</v>
      </c>
      <c r="M39">
        <f>L39</f>
        <v>405.56</v>
      </c>
      <c r="N39" s="38">
        <f>AVERAGE(K39:M39)</f>
        <v>408.81666666666666</v>
      </c>
      <c r="O39" s="38">
        <f>N39</f>
        <v>408.81666666666666</v>
      </c>
      <c r="P39" s="38">
        <f t="shared" ref="P39:R39" si="20">O39</f>
        <v>408.81666666666666</v>
      </c>
      <c r="Q39" s="38">
        <f t="shared" si="20"/>
        <v>408.81666666666666</v>
      </c>
      <c r="R39" s="38">
        <f t="shared" si="20"/>
        <v>408.81666666666666</v>
      </c>
    </row>
    <row r="41" spans="2:18" x14ac:dyDescent="0.3">
      <c r="B41" t="s">
        <v>77</v>
      </c>
      <c r="C41" s="12">
        <f>IFERROR(C36/C39,0)</f>
        <v>24.604366660136268</v>
      </c>
      <c r="D41" s="12">
        <f t="shared" ref="D41:M41" si="21">IFERROR(D36/D39,0)</f>
        <v>29.114967263403692</v>
      </c>
      <c r="E41" s="12">
        <f t="shared" si="21"/>
        <v>28.6754102863421</v>
      </c>
      <c r="F41" s="12">
        <f t="shared" si="21"/>
        <v>32.486499178210849</v>
      </c>
      <c r="G41" s="12">
        <f t="shared" si="21"/>
        <v>40.420588166263762</v>
      </c>
      <c r="H41" s="12">
        <f t="shared" si="21"/>
        <v>47.189008011030019</v>
      </c>
      <c r="I41" s="12">
        <f t="shared" si="21"/>
        <v>51.600539941184977</v>
      </c>
      <c r="J41" s="12">
        <f t="shared" si="21"/>
        <v>51.885133344575877</v>
      </c>
      <c r="K41" s="12">
        <f t="shared" si="21"/>
        <v>55.738810102809815</v>
      </c>
      <c r="L41" s="12">
        <f t="shared" si="21"/>
        <v>65.196271821678664</v>
      </c>
      <c r="M41" s="12">
        <f t="shared" si="21"/>
        <v>79.783509221816743</v>
      </c>
      <c r="N41" s="23">
        <f>N36/N39</f>
        <v>68.901723579475572</v>
      </c>
      <c r="O41" s="23">
        <f t="shared" ref="O41:R41" si="22">O36/O39</f>
        <v>71.657792522654589</v>
      </c>
      <c r="P41" s="23">
        <f t="shared" si="22"/>
        <v>75.240682148787329</v>
      </c>
      <c r="Q41" s="23">
        <f t="shared" si="22"/>
        <v>79.755123077714586</v>
      </c>
      <c r="R41" s="23">
        <f t="shared" si="22"/>
        <v>84.540430462377429</v>
      </c>
    </row>
    <row r="42" spans="2:18" x14ac:dyDescent="0.3">
      <c r="B42" s="13" t="s">
        <v>79</v>
      </c>
      <c r="D42" s="15">
        <f>IFERROR(D41/C41-1,0)</f>
        <v>0.1833252066827411</v>
      </c>
      <c r="E42" s="15">
        <f t="shared" ref="E42:M42" si="23">IFERROR(E41/D41-1,0)</f>
        <v>-1.5097285636109792E-2</v>
      </c>
      <c r="F42" s="15">
        <f t="shared" si="23"/>
        <v>0.13290442416734827</v>
      </c>
      <c r="G42" s="15">
        <f t="shared" si="23"/>
        <v>0.24422726944288353</v>
      </c>
      <c r="H42" s="15">
        <f t="shared" si="23"/>
        <v>0.16744981089650213</v>
      </c>
      <c r="I42" s="15">
        <f t="shared" si="23"/>
        <v>9.3486430762091954E-2</v>
      </c>
      <c r="J42" s="15">
        <f t="shared" si="23"/>
        <v>5.5153183225462588E-3</v>
      </c>
      <c r="K42" s="15">
        <f t="shared" si="23"/>
        <v>7.4273236085588668E-2</v>
      </c>
      <c r="L42" s="15">
        <f t="shared" si="23"/>
        <v>0.1696746253001209</v>
      </c>
      <c r="M42" s="15">
        <f t="shared" si="23"/>
        <v>0.22374342876593167</v>
      </c>
    </row>
    <row r="43" spans="2:18" x14ac:dyDescent="0.3">
      <c r="B43" s="13"/>
    </row>
    <row r="44" spans="2:18" x14ac:dyDescent="0.3">
      <c r="B44" t="s">
        <v>78</v>
      </c>
      <c r="C44" s="12">
        <f>IFERROR('Data Sheet'!B31/'Data Sheet'!B93,0)</f>
        <v>12.824832930625396</v>
      </c>
      <c r="D44" s="12">
        <f>IFERROR('Data Sheet'!C31/'Data Sheet'!C93,0)</f>
        <v>21.669337484547412</v>
      </c>
      <c r="E44" s="12">
        <f>IFERROR('Data Sheet'!D31/'Data Sheet'!D93,0)</f>
        <v>21.109432580283368</v>
      </c>
      <c r="F44" s="12">
        <f>IFERROR('Data Sheet'!E31/'Data Sheet'!E93,0)</f>
        <v>17.438365813571263</v>
      </c>
      <c r="G44" s="12">
        <f>IFERROR('Data Sheet'!F31/'Data Sheet'!F93,0)</f>
        <v>26.919520266622857</v>
      </c>
      <c r="H44" s="12">
        <f>IFERROR('Data Sheet'!G31/'Data Sheet'!G93,0)</f>
        <v>30.921149594694178</v>
      </c>
      <c r="I44" s="12">
        <f>IFERROR('Data Sheet'!H31/'Data Sheet'!H93,0)</f>
        <v>33.913127320059779</v>
      </c>
      <c r="J44" s="12">
        <f>IFERROR('Data Sheet'!I31/'Data Sheet'!I93,0)</f>
        <v>45.901370787058234</v>
      </c>
      <c r="K44" s="12">
        <f>IFERROR('Data Sheet'!J31/'Data Sheet'!J93,0)</f>
        <v>42.924421544314157</v>
      </c>
      <c r="L44" s="12">
        <f>IFERROR('Data Sheet'!K31/'Data Sheet'!K93,0)</f>
        <v>47.910050300818625</v>
      </c>
      <c r="M44" s="12">
        <f>IFERROR('Data Sheet'!L31/'Data Sheet'!L93,0)</f>
        <v>0</v>
      </c>
      <c r="N44" s="12">
        <f>N41*'Assumption sheet'!C10</f>
        <v>48.231206505632898</v>
      </c>
      <c r="O44" s="12">
        <f>O41*'Assumption sheet'!D10</f>
        <v>50.160454765858212</v>
      </c>
      <c r="P44" s="12">
        <f>P41*'Assumption sheet'!E10</f>
        <v>52.668477504151127</v>
      </c>
      <c r="Q44" s="12">
        <f>Q41*'Assumption sheet'!F10</f>
        <v>55.828586154400206</v>
      </c>
      <c r="R44" s="12">
        <f>R41*'Assumption sheet'!G10</f>
        <v>59.178301323664193</v>
      </c>
    </row>
    <row r="45" spans="2:18" x14ac:dyDescent="0.3">
      <c r="B45" s="13" t="s">
        <v>80</v>
      </c>
      <c r="C45" s="15">
        <f>IFERROR(C44/C41,0)</f>
        <v>0.52124214810227376</v>
      </c>
      <c r="D45" s="15">
        <f t="shared" ref="D45:R45" si="24">IFERROR(D44/D41,0)</f>
        <v>0.74426796666142481</v>
      </c>
      <c r="E45" s="15">
        <f t="shared" si="24"/>
        <v>0.73615102171136659</v>
      </c>
      <c r="F45" s="15">
        <f t="shared" si="24"/>
        <v>0.53678808904307607</v>
      </c>
      <c r="G45" s="15">
        <f t="shared" si="24"/>
        <v>0.66598536755312976</v>
      </c>
      <c r="H45" s="15">
        <f t="shared" si="24"/>
        <v>0.6552616996624856</v>
      </c>
      <c r="I45" s="15">
        <f t="shared" si="24"/>
        <v>0.65722427243425052</v>
      </c>
      <c r="J45" s="15">
        <f t="shared" si="24"/>
        <v>0.8846728885174352</v>
      </c>
      <c r="K45" s="15">
        <f t="shared" si="24"/>
        <v>0.77009935205183577</v>
      </c>
      <c r="L45" s="15">
        <f t="shared" si="24"/>
        <v>0.73485874210506419</v>
      </c>
      <c r="M45" s="15">
        <f t="shared" si="24"/>
        <v>0</v>
      </c>
      <c r="N45" s="15">
        <f t="shared" si="24"/>
        <v>0.7</v>
      </c>
      <c r="O45" s="15">
        <f t="shared" si="24"/>
        <v>0.7</v>
      </c>
      <c r="P45" s="15">
        <f t="shared" si="24"/>
        <v>0.7</v>
      </c>
      <c r="Q45" s="15">
        <f t="shared" si="24"/>
        <v>0.7</v>
      </c>
      <c r="R45" s="15">
        <f t="shared" si="24"/>
        <v>0.7</v>
      </c>
    </row>
    <row r="47" spans="2:18" x14ac:dyDescent="0.3">
      <c r="B47" t="s">
        <v>81</v>
      </c>
      <c r="C47" s="15">
        <f>IFERROR(IF(C41&gt;C44,1-C45,0),0)</f>
        <v>0.47875785189772624</v>
      </c>
      <c r="D47" s="15">
        <f t="shared" ref="D47:R47" si="25">IFERROR(IF(D41&gt;D44,1-D45,0),0)</f>
        <v>0.25573203333857519</v>
      </c>
      <c r="E47" s="15">
        <f t="shared" si="25"/>
        <v>0.26384897828863341</v>
      </c>
      <c r="F47" s="15">
        <f t="shared" si="25"/>
        <v>0.46321191095692393</v>
      </c>
      <c r="G47" s="15">
        <f t="shared" si="25"/>
        <v>0.33401463244687024</v>
      </c>
      <c r="H47" s="15">
        <f t="shared" si="25"/>
        <v>0.3447383003375144</v>
      </c>
      <c r="I47" s="15">
        <f t="shared" si="25"/>
        <v>0.34277572756574948</v>
      </c>
      <c r="J47" s="15">
        <f t="shared" si="25"/>
        <v>0.1153271114825648</v>
      </c>
      <c r="K47" s="15">
        <f t="shared" si="25"/>
        <v>0.22990064794816423</v>
      </c>
      <c r="L47" s="15">
        <f t="shared" si="25"/>
        <v>0.26514125789493581</v>
      </c>
      <c r="M47" s="15">
        <f t="shared" si="25"/>
        <v>1</v>
      </c>
      <c r="N47" s="15">
        <f t="shared" si="25"/>
        <v>0.30000000000000004</v>
      </c>
      <c r="O47" s="15">
        <f t="shared" si="25"/>
        <v>0.30000000000000004</v>
      </c>
      <c r="P47" s="15">
        <f t="shared" si="25"/>
        <v>0.30000000000000004</v>
      </c>
      <c r="Q47" s="15">
        <f t="shared" si="25"/>
        <v>0.30000000000000004</v>
      </c>
      <c r="R47" s="15">
        <f t="shared" si="25"/>
        <v>0.30000000000000004</v>
      </c>
    </row>
    <row r="49" spans="1:18" x14ac:dyDescent="0.3">
      <c r="A49" t="s">
        <v>6</v>
      </c>
      <c r="B49" s="16" t="s">
        <v>82</v>
      </c>
      <c r="C49" s="17"/>
      <c r="D49" s="17"/>
      <c r="E49" s="17"/>
      <c r="F49" s="17"/>
      <c r="G49" s="17"/>
      <c r="H49" s="17"/>
      <c r="I49" s="17"/>
      <c r="J49" s="17"/>
      <c r="K49" s="17"/>
      <c r="L49" s="17"/>
      <c r="M49" s="17"/>
    </row>
    <row r="50" spans="1:18" x14ac:dyDescent="0.3">
      <c r="B50" t="s">
        <v>33</v>
      </c>
      <c r="C50" s="12">
        <f>IFERROR('Data Sheet'!B57,0)</f>
        <v>1144</v>
      </c>
      <c r="D50" s="12">
        <f>IFERROR('Data Sheet'!C57,0)</f>
        <v>1088</v>
      </c>
      <c r="E50" s="12">
        <f>IFERROR('Data Sheet'!D57,0)</f>
        <v>2170</v>
      </c>
      <c r="F50" s="12">
        <f>IFERROR('Data Sheet'!E57,0)</f>
        <v>2122</v>
      </c>
      <c r="G50" s="12">
        <f>IFERROR('Data Sheet'!F57,0)</f>
        <v>2124</v>
      </c>
      <c r="H50" s="12">
        <f>IFERROR('Data Sheet'!G57,0)</f>
        <v>2098</v>
      </c>
      <c r="I50" s="12">
        <f>IFERROR('Data Sheet'!H57,0)</f>
        <v>2069</v>
      </c>
      <c r="J50" s="12">
        <f>IFERROR('Data Sheet'!I57,0)</f>
        <v>2071</v>
      </c>
      <c r="K50" s="12">
        <f>IFERROR('Data Sheet'!J57,0)</f>
        <v>2073</v>
      </c>
      <c r="L50" s="12">
        <f>IFERROR('Data Sheet'!K57,0)</f>
        <v>2024</v>
      </c>
      <c r="N50" s="39">
        <f>L50</f>
        <v>2024</v>
      </c>
      <c r="O50" s="39">
        <f>N50</f>
        <v>2024</v>
      </c>
      <c r="P50" s="39">
        <f t="shared" ref="P50:R50" si="26">O50</f>
        <v>2024</v>
      </c>
      <c r="Q50" s="39">
        <f t="shared" si="26"/>
        <v>2024</v>
      </c>
      <c r="R50" s="39">
        <f t="shared" si="26"/>
        <v>2024</v>
      </c>
    </row>
    <row r="51" spans="1:18" x14ac:dyDescent="0.3">
      <c r="B51" t="s">
        <v>32</v>
      </c>
      <c r="C51" s="12">
        <f>IFERROR('Data Sheet'!B58,0)</f>
        <v>67838</v>
      </c>
      <c r="D51" s="12">
        <f>IFERROR('Data Sheet'!C58,0)</f>
        <v>63835</v>
      </c>
      <c r="E51" s="12">
        <f>IFERROR('Data Sheet'!D58,0)</f>
        <v>62778</v>
      </c>
      <c r="F51" s="12">
        <f>IFERROR('Data Sheet'!E58,0)</f>
        <v>63328</v>
      </c>
      <c r="G51" s="12">
        <f>IFERROR('Data Sheet'!F58,0)</f>
        <v>74227</v>
      </c>
      <c r="H51" s="12">
        <f>IFERROR('Data Sheet'!G58,0)</f>
        <v>73252</v>
      </c>
      <c r="I51" s="12">
        <f>IFERROR('Data Sheet'!H58,0)</f>
        <v>73338</v>
      </c>
      <c r="J51" s="12">
        <f>IFERROR('Data Sheet'!I58,0)</f>
        <v>86045</v>
      </c>
      <c r="K51" s="12">
        <f>IFERROR('Data Sheet'!J58,0)</f>
        <v>93745</v>
      </c>
      <c r="L51" s="12">
        <f>IFERROR('Data Sheet'!K58,0)</f>
        <v>90828</v>
      </c>
      <c r="N51" s="30">
        <f>L51+N36-(N44*N39)</f>
        <v>99278.451888404787</v>
      </c>
      <c r="O51" s="30">
        <f>N51+O36-(O44*O39)</f>
        <v>108066.92185234575</v>
      </c>
      <c r="P51" s="30">
        <f t="shared" ref="P51:R51" si="27">O51+P36-(P44*P39)</f>
        <v>117294.81531448379</v>
      </c>
      <c r="Q51" s="30">
        <f t="shared" si="27"/>
        <v>127076.38238435007</v>
      </c>
      <c r="R51" s="30">
        <f t="shared" si="27"/>
        <v>137444.84347840835</v>
      </c>
    </row>
    <row r="52" spans="1:18" x14ac:dyDescent="0.3">
      <c r="B52" t="s">
        <v>31</v>
      </c>
      <c r="C52" s="12">
        <f>IFERROR('Data Sheet'!B59,0)</f>
        <v>0</v>
      </c>
      <c r="D52" s="12">
        <f>IFERROR('Data Sheet'!C59,0)</f>
        <v>0</v>
      </c>
      <c r="E52" s="12">
        <f>IFERROR('Data Sheet'!D59,0)</f>
        <v>0</v>
      </c>
      <c r="F52" s="12">
        <f>IFERROR('Data Sheet'!E59,0)</f>
        <v>4633</v>
      </c>
      <c r="G52" s="12">
        <f>IFERROR('Data Sheet'!F59,0)</f>
        <v>5325</v>
      </c>
      <c r="H52" s="12">
        <f>IFERROR('Data Sheet'!G59,0)</f>
        <v>5474</v>
      </c>
      <c r="I52" s="12">
        <f>IFERROR('Data Sheet'!H59,0)</f>
        <v>8299</v>
      </c>
      <c r="J52" s="12">
        <f>IFERROR('Data Sheet'!I59,0)</f>
        <v>8359</v>
      </c>
      <c r="K52" s="12">
        <f>IFERROR('Data Sheet'!J59,0)</f>
        <v>8227</v>
      </c>
      <c r="L52" s="12">
        <f>IFERROR('Data Sheet'!K59,0)</f>
        <v>9176</v>
      </c>
      <c r="N52" s="39">
        <f>L52</f>
        <v>9176</v>
      </c>
      <c r="O52" s="39">
        <f>N52</f>
        <v>9176</v>
      </c>
      <c r="P52" s="39">
        <f t="shared" ref="P52:R52" si="28">O52</f>
        <v>9176</v>
      </c>
      <c r="Q52" s="39">
        <f t="shared" si="28"/>
        <v>9176</v>
      </c>
      <c r="R52" s="39">
        <f t="shared" si="28"/>
        <v>9176</v>
      </c>
    </row>
    <row r="53" spans="1:18" x14ac:dyDescent="0.3">
      <c r="B53" t="s">
        <v>30</v>
      </c>
      <c r="C53" s="12">
        <f>IFERROR('Data Sheet'!B60,0)</f>
        <v>14166</v>
      </c>
      <c r="D53" s="12">
        <f>IFERROR('Data Sheet'!C60,0)</f>
        <v>14426</v>
      </c>
      <c r="E53" s="12">
        <f>IFERROR('Data Sheet'!D60,0)</f>
        <v>19118</v>
      </c>
      <c r="F53" s="12">
        <f>IFERROR('Data Sheet'!E60,0)</f>
        <v>21717</v>
      </c>
      <c r="G53" s="12">
        <f>IFERROR('Data Sheet'!F60,0)</f>
        <v>25835</v>
      </c>
      <c r="H53" s="12">
        <f>IFERROR('Data Sheet'!G60,0)</f>
        <v>35905</v>
      </c>
      <c r="I53" s="12">
        <f>IFERROR('Data Sheet'!H60,0)</f>
        <v>40890</v>
      </c>
      <c r="J53" s="12">
        <f>IFERROR('Data Sheet'!I60,0)</f>
        <v>39545</v>
      </c>
      <c r="K53" s="12">
        <f>IFERROR('Data Sheet'!J60,0)</f>
        <v>43750</v>
      </c>
      <c r="L53" s="12">
        <f>IFERROR('Data Sheet'!K60,0)</f>
        <v>52260</v>
      </c>
      <c r="N53" s="30">
        <f>N6*29.25%</f>
        <v>53561.503124999988</v>
      </c>
      <c r="O53" s="30">
        <f t="shared" ref="O53:R53" si="29">O6*29.25%</f>
        <v>55703.963249999986</v>
      </c>
      <c r="P53" s="30">
        <f t="shared" si="29"/>
        <v>58489.161412499991</v>
      </c>
      <c r="Q53" s="30">
        <f t="shared" si="29"/>
        <v>61998.511097249997</v>
      </c>
      <c r="R53" s="30">
        <f t="shared" si="29"/>
        <v>65718.421763085003</v>
      </c>
    </row>
    <row r="54" spans="1:18" x14ac:dyDescent="0.3">
      <c r="B54" s="1" t="s">
        <v>83</v>
      </c>
      <c r="C54" s="24">
        <f>IFERROR('Data Sheet'!B61,0)</f>
        <v>83148</v>
      </c>
      <c r="D54" s="24">
        <f>IFERROR('Data Sheet'!C61,0)</f>
        <v>79349</v>
      </c>
      <c r="E54" s="24">
        <f>IFERROR('Data Sheet'!D61,0)</f>
        <v>84066</v>
      </c>
      <c r="F54" s="24">
        <f>IFERROR('Data Sheet'!E61,0)</f>
        <v>91800</v>
      </c>
      <c r="G54" s="24">
        <f>IFERROR('Data Sheet'!F61,0)</f>
        <v>107511</v>
      </c>
      <c r="H54" s="24">
        <f>IFERROR('Data Sheet'!G61,0)</f>
        <v>116729</v>
      </c>
      <c r="I54" s="24">
        <f>IFERROR('Data Sheet'!H61,0)</f>
        <v>124596</v>
      </c>
      <c r="J54" s="24">
        <f>IFERROR('Data Sheet'!I61,0)</f>
        <v>136020</v>
      </c>
      <c r="K54" s="24">
        <f>IFERROR('Data Sheet'!J61,0)</f>
        <v>147795</v>
      </c>
      <c r="L54" s="24">
        <f>IFERROR('Data Sheet'!K61,0)</f>
        <v>154288</v>
      </c>
      <c r="N54" s="40">
        <f>SUM(N50:N53)</f>
        <v>164039.95501340477</v>
      </c>
      <c r="O54" s="40">
        <f t="shared" ref="O54:R54" si="30">SUM(O50:O53)</f>
        <v>174970.88510234572</v>
      </c>
      <c r="P54" s="40">
        <f t="shared" si="30"/>
        <v>186983.97672698379</v>
      </c>
      <c r="Q54" s="40">
        <f t="shared" si="30"/>
        <v>200274.89348160004</v>
      </c>
      <c r="R54" s="40">
        <f t="shared" si="30"/>
        <v>214363.26524149335</v>
      </c>
    </row>
    <row r="56" spans="1:18" x14ac:dyDescent="0.3">
      <c r="B56" t="s">
        <v>84</v>
      </c>
      <c r="C56" s="12">
        <f>IFERROR('Data Sheet'!B62,0)</f>
        <v>14179</v>
      </c>
      <c r="D56" s="12">
        <f>IFERROR('Data Sheet'!C62,0)</f>
        <v>12574</v>
      </c>
      <c r="E56" s="12">
        <f>IFERROR('Data Sheet'!D62,0)</f>
        <v>15710</v>
      </c>
      <c r="F56" s="12">
        <f>IFERROR('Data Sheet'!E62,0)</f>
        <v>23789</v>
      </c>
      <c r="G56" s="12">
        <f>IFERROR('Data Sheet'!F62,0)</f>
        <v>25505</v>
      </c>
      <c r="H56" s="12">
        <f>IFERROR('Data Sheet'!G62,0)</f>
        <v>25800</v>
      </c>
      <c r="I56" s="12">
        <f>IFERROR('Data Sheet'!H62,0)</f>
        <v>29225</v>
      </c>
      <c r="J56" s="12">
        <f>IFERROR('Data Sheet'!I62,0)</f>
        <v>27622</v>
      </c>
      <c r="K56" s="12">
        <f>IFERROR('Data Sheet'!J62,0)</f>
        <v>30961</v>
      </c>
      <c r="L56" s="12">
        <f>IFERROR('Data Sheet'!K62,0)</f>
        <v>33770</v>
      </c>
      <c r="N56" s="12">
        <f>'Capex Schedule'!C10</f>
        <v>31549.503912150158</v>
      </c>
      <c r="O56" s="12">
        <f>'Capex Schedule'!D10</f>
        <v>29240.187980786315</v>
      </c>
      <c r="P56" s="12">
        <f>'Capex Schedule'!E10</f>
        <v>26815.406252854285</v>
      </c>
      <c r="Q56" s="12">
        <f>'Capex Schedule'!F10</f>
        <v>24245.137621246333</v>
      </c>
      <c r="R56" s="12">
        <f>'Capex Schedule'!G10</f>
        <v>21520.652871741902</v>
      </c>
    </row>
    <row r="57" spans="1:18" x14ac:dyDescent="0.3">
      <c r="B57" t="s">
        <v>28</v>
      </c>
      <c r="C57" s="12">
        <f>IFERROR('Data Sheet'!B63,0)</f>
        <v>1365</v>
      </c>
      <c r="D57" s="12">
        <f>IFERROR('Data Sheet'!C63,0)</f>
        <v>1606</v>
      </c>
      <c r="E57" s="12">
        <f>IFERROR('Data Sheet'!D63,0)</f>
        <v>1388</v>
      </c>
      <c r="F57" s="12">
        <f>IFERROR('Data Sheet'!E63,0)</f>
        <v>954</v>
      </c>
      <c r="G57" s="12">
        <f>IFERROR('Data Sheet'!F63,0)</f>
        <v>922</v>
      </c>
      <c r="H57" s="12">
        <f>IFERROR('Data Sheet'!G63,0)</f>
        <v>416</v>
      </c>
      <c r="I57" s="12">
        <f>IFERROR('Data Sheet'!H63,0)</f>
        <v>288</v>
      </c>
      <c r="J57" s="12">
        <f>IFERROR('Data Sheet'!I63,0)</f>
        <v>293</v>
      </c>
      <c r="K57" s="12">
        <f>IFERROR('Data Sheet'!J63,0)</f>
        <v>814</v>
      </c>
      <c r="L57" s="12">
        <f>IFERROR('Data Sheet'!K63,0)</f>
        <v>526</v>
      </c>
      <c r="N57" s="39">
        <f>L57</f>
        <v>526</v>
      </c>
      <c r="O57" s="39">
        <f>526</f>
        <v>526</v>
      </c>
      <c r="P57" s="39">
        <f>526</f>
        <v>526</v>
      </c>
      <c r="Q57" s="39">
        <f>526</f>
        <v>526</v>
      </c>
      <c r="R57" s="39">
        <f>526</f>
        <v>526</v>
      </c>
    </row>
    <row r="58" spans="1:18" x14ac:dyDescent="0.3">
      <c r="B58" t="s">
        <v>27</v>
      </c>
      <c r="C58" s="12">
        <f>IFERROR('Data Sheet'!B64,0)</f>
        <v>16423</v>
      </c>
      <c r="D58" s="12">
        <f>IFERROR('Data Sheet'!C64,0)</f>
        <v>12163</v>
      </c>
      <c r="E58" s="12">
        <f>IFERROR('Data Sheet'!D64,0)</f>
        <v>11261</v>
      </c>
      <c r="F58" s="12">
        <f>IFERROR('Data Sheet'!E64,0)</f>
        <v>8792</v>
      </c>
      <c r="G58" s="12">
        <f>IFERROR('Data Sheet'!F64,0)</f>
        <v>14205</v>
      </c>
      <c r="H58" s="12">
        <f>IFERROR('Data Sheet'!G64,0)</f>
        <v>20324</v>
      </c>
      <c r="I58" s="12">
        <f>IFERROR('Data Sheet'!H64,0)</f>
        <v>19478</v>
      </c>
      <c r="J58" s="12">
        <f>IFERROR('Data Sheet'!I64,0)</f>
        <v>24623</v>
      </c>
      <c r="K58" s="12">
        <f>IFERROR('Data Sheet'!J64,0)</f>
        <v>23541</v>
      </c>
      <c r="L58" s="12">
        <f>IFERROR('Data Sheet'!K64,0)</f>
        <v>21880</v>
      </c>
      <c r="N58" s="30">
        <f>N6*14.24%</f>
        <v>26075.753999999997</v>
      </c>
      <c r="O58" s="30">
        <f t="shared" ref="O58:R58" si="31">O6*14.24%</f>
        <v>27118.784159999996</v>
      </c>
      <c r="P58" s="30">
        <f t="shared" si="31"/>
        <v>28474.723367999995</v>
      </c>
      <c r="Q58" s="30">
        <f t="shared" si="31"/>
        <v>30183.20677008</v>
      </c>
      <c r="R58" s="30">
        <f t="shared" si="31"/>
        <v>31994.199176284801</v>
      </c>
    </row>
    <row r="59" spans="1:18" x14ac:dyDescent="0.3">
      <c r="B59" t="s">
        <v>26</v>
      </c>
      <c r="C59" s="12">
        <f>IFERROR('Data Sheet'!B65-SUM('Data Sheet'!B67:B69),0)</f>
        <v>16234</v>
      </c>
      <c r="D59" s="12">
        <f>IFERROR('Data Sheet'!C65-SUM('Data Sheet'!C67:C69),0)</f>
        <v>20046</v>
      </c>
      <c r="E59" s="12">
        <f>IFERROR('Data Sheet'!D65-SUM('Data Sheet'!D67:D69),0)</f>
        <v>21312</v>
      </c>
      <c r="F59" s="12">
        <f>IFERROR('Data Sheet'!E65-SUM('Data Sheet'!E67:E69),0)</f>
        <v>21129</v>
      </c>
      <c r="G59" s="12">
        <f>IFERROR('Data Sheet'!F65-SUM('Data Sheet'!F67:F69),0)</f>
        <v>22871</v>
      </c>
      <c r="H59" s="12">
        <f>IFERROR('Data Sheet'!G65-SUM('Data Sheet'!G67:G69),0)</f>
        <v>30019</v>
      </c>
      <c r="I59" s="12">
        <f>IFERROR('Data Sheet'!H65-SUM('Data Sheet'!H67:H69),0)</f>
        <v>38008</v>
      </c>
      <c r="J59" s="12">
        <f>IFERROR('Data Sheet'!I65-SUM('Data Sheet'!I67:I69),0)</f>
        <v>38503</v>
      </c>
      <c r="K59" s="12">
        <f>IFERROR('Data Sheet'!J65-SUM('Data Sheet'!J67:J69),0)</f>
        <v>36866</v>
      </c>
      <c r="L59" s="12">
        <f>IFERROR('Data Sheet'!K65-SUM('Data Sheet'!K67:K69),0)</f>
        <v>40677</v>
      </c>
      <c r="N59" s="30">
        <f>N6*'Assumption sheet'!$D$12</f>
        <v>42995.695499999994</v>
      </c>
      <c r="O59" s="30">
        <f>O6*'Assumption sheet'!$D$12</f>
        <v>44715.523319999993</v>
      </c>
      <c r="P59" s="30">
        <f>P6*'Assumption sheet'!$D$12</f>
        <v>46951.299485999996</v>
      </c>
      <c r="Q59" s="30">
        <f>Q6*'Assumption sheet'!$D$12</f>
        <v>49768.37745516</v>
      </c>
      <c r="R59" s="30">
        <f>R6*'Assumption sheet'!$D$12</f>
        <v>52754.480102469606</v>
      </c>
    </row>
    <row r="60" spans="1:18" x14ac:dyDescent="0.3">
      <c r="B60" s="1" t="s">
        <v>85</v>
      </c>
      <c r="C60" s="24">
        <f>IFERROR(SUM(C56:C59),0)</f>
        <v>48201</v>
      </c>
      <c r="D60" s="24">
        <f t="shared" ref="D60:L60" si="32">IFERROR(SUM(D56:D59),0)</f>
        <v>46389</v>
      </c>
      <c r="E60" s="24">
        <f t="shared" si="32"/>
        <v>49671</v>
      </c>
      <c r="F60" s="24">
        <f t="shared" si="32"/>
        <v>54664</v>
      </c>
      <c r="G60" s="24">
        <f t="shared" si="32"/>
        <v>63503</v>
      </c>
      <c r="H60" s="24">
        <f t="shared" si="32"/>
        <v>76559</v>
      </c>
      <c r="I60" s="24">
        <f t="shared" si="32"/>
        <v>86999</v>
      </c>
      <c r="J60" s="24">
        <f t="shared" si="32"/>
        <v>91041</v>
      </c>
      <c r="K60" s="24">
        <f t="shared" si="32"/>
        <v>92182</v>
      </c>
      <c r="L60" s="24">
        <f t="shared" si="32"/>
        <v>96853</v>
      </c>
      <c r="N60" s="40">
        <f>SUM(N56:N59)</f>
        <v>101146.95341215015</v>
      </c>
      <c r="O60" s="40">
        <f t="shared" ref="O60:R60" si="33">SUM(O56:O59)</f>
        <v>101600.4954607863</v>
      </c>
      <c r="P60" s="40">
        <f t="shared" si="33"/>
        <v>102767.42910685428</v>
      </c>
      <c r="Q60" s="40">
        <f t="shared" si="33"/>
        <v>104722.72184648633</v>
      </c>
      <c r="R60" s="40">
        <f t="shared" si="33"/>
        <v>106795.33215049631</v>
      </c>
    </row>
    <row r="61" spans="1:18" x14ac:dyDescent="0.3">
      <c r="B61" s="1"/>
      <c r="C61" s="24"/>
      <c r="D61" s="24"/>
      <c r="E61" s="24"/>
      <c r="F61" s="24"/>
      <c r="G61" s="24"/>
      <c r="H61" s="24"/>
      <c r="I61" s="24"/>
      <c r="J61" s="24"/>
      <c r="K61" s="24"/>
      <c r="L61" s="24"/>
    </row>
    <row r="62" spans="1:18" x14ac:dyDescent="0.3">
      <c r="B62" t="s">
        <v>25</v>
      </c>
      <c r="C62" s="12">
        <f>IFERROR('Data Sheet'!B67,0)</f>
        <v>12322</v>
      </c>
      <c r="D62" s="12">
        <f>IFERROR('Data Sheet'!C67,0)</f>
        <v>13142</v>
      </c>
      <c r="E62" s="12">
        <f>IFERROR('Data Sheet'!D67,0)</f>
        <v>14827</v>
      </c>
      <c r="F62" s="12">
        <f>IFERROR('Data Sheet'!E67,0)</f>
        <v>18487</v>
      </c>
      <c r="G62" s="12">
        <f>IFERROR('Data Sheet'!F67,0)</f>
        <v>19294</v>
      </c>
      <c r="H62" s="12">
        <f>IFERROR('Data Sheet'!G67,0)</f>
        <v>22698</v>
      </c>
      <c r="I62" s="12">
        <f>IFERROR('Data Sheet'!H67,0)</f>
        <v>25424</v>
      </c>
      <c r="J62" s="12">
        <f>IFERROR('Data Sheet'!I67,0)</f>
        <v>30193</v>
      </c>
      <c r="K62" s="12">
        <f>IFERROR('Data Sheet'!J67,0)</f>
        <v>31158</v>
      </c>
      <c r="L62" s="12">
        <f>IFERROR('Data Sheet'!K67,0)</f>
        <v>35234</v>
      </c>
      <c r="N62" s="30">
        <f>N6*'Assumption sheet'!$C$13/365</f>
        <v>35705.160308219172</v>
      </c>
      <c r="O62" s="30">
        <f>O6*'Assumption sheet'!$C$13/365</f>
        <v>37133.366720547943</v>
      </c>
      <c r="P62" s="30">
        <f>P6*'Assumption sheet'!$C$13/365</f>
        <v>38990.03505657534</v>
      </c>
      <c r="Q62" s="30">
        <f>Q6*'Assumption sheet'!$C$13/365</f>
        <v>41329.437159969864</v>
      </c>
      <c r="R62" s="30">
        <f>R6*'Assumption sheet'!$C$13/365</f>
        <v>43809.203389568058</v>
      </c>
    </row>
    <row r="63" spans="1:18" x14ac:dyDescent="0.3">
      <c r="B63" t="s">
        <v>24</v>
      </c>
      <c r="C63" s="12">
        <f>IFERROR('Data Sheet'!B68,0)</f>
        <v>0</v>
      </c>
      <c r="D63" s="12">
        <f>IFERROR('Data Sheet'!C68,0)</f>
        <v>0</v>
      </c>
      <c r="E63" s="12">
        <f>IFERROR('Data Sheet'!D68,0)</f>
        <v>0</v>
      </c>
      <c r="F63" s="12">
        <f>IFERROR('Data Sheet'!E68,0)</f>
        <v>0</v>
      </c>
      <c r="G63" s="12">
        <f>IFERROR('Data Sheet'!F68,0)</f>
        <v>0</v>
      </c>
      <c r="H63" s="12">
        <f>IFERROR('Data Sheet'!G68,0)</f>
        <v>0</v>
      </c>
      <c r="I63" s="12">
        <f>IFERROR('Data Sheet'!H68,0)</f>
        <v>0</v>
      </c>
      <c r="J63" s="12">
        <f>IFERROR('Data Sheet'!I68,0)</f>
        <v>0</v>
      </c>
      <c r="K63" s="12">
        <f>IFERROR('Data Sheet'!J68,0)</f>
        <v>0</v>
      </c>
      <c r="L63" s="12">
        <f>IFERROR('Data Sheet'!K68,0)</f>
        <v>0</v>
      </c>
      <c r="N63" s="39">
        <f>L63</f>
        <v>0</v>
      </c>
      <c r="O63" s="39">
        <f>N63</f>
        <v>0</v>
      </c>
      <c r="P63" s="39">
        <f t="shared" ref="P63:R63" si="34">O63</f>
        <v>0</v>
      </c>
      <c r="Q63" s="39">
        <f t="shared" si="34"/>
        <v>0</v>
      </c>
      <c r="R63" s="39">
        <f t="shared" si="34"/>
        <v>0</v>
      </c>
    </row>
    <row r="64" spans="1:18" x14ac:dyDescent="0.3">
      <c r="B64" t="s">
        <v>23</v>
      </c>
      <c r="C64" s="12">
        <f>IFERROR('Data Sheet'!B69,0)</f>
        <v>22625</v>
      </c>
      <c r="D64" s="12">
        <f>IFERROR('Data Sheet'!C69,0)</f>
        <v>19818</v>
      </c>
      <c r="E64" s="12">
        <f>IFERROR('Data Sheet'!D69,0)</f>
        <v>19568</v>
      </c>
      <c r="F64" s="12">
        <f>IFERROR('Data Sheet'!E69,0)</f>
        <v>18649</v>
      </c>
      <c r="G64" s="12">
        <f>IFERROR('Data Sheet'!F69,0)</f>
        <v>24714</v>
      </c>
      <c r="H64" s="12">
        <f>IFERROR('Data Sheet'!G69,0)</f>
        <v>17472</v>
      </c>
      <c r="I64" s="12">
        <f>IFERROR('Data Sheet'!H69,0)</f>
        <v>12173</v>
      </c>
      <c r="J64" s="12">
        <f>IFERROR('Data Sheet'!I69,0)</f>
        <v>14786</v>
      </c>
      <c r="K64" s="12">
        <f>IFERROR('Data Sheet'!J69,0)</f>
        <v>24455</v>
      </c>
      <c r="L64" s="12">
        <f>IFERROR('Data Sheet'!K69,0)</f>
        <v>22201</v>
      </c>
      <c r="N64" s="30">
        <f>L64+N75</f>
        <v>27187.84129303545</v>
      </c>
      <c r="O64" s="30">
        <f>N64+O75</f>
        <v>36237.022921011492</v>
      </c>
      <c r="P64" s="30">
        <f>O64+P75</f>
        <v>45226.512563554148</v>
      </c>
      <c r="Q64" s="30">
        <f t="shared" ref="Q64:R64" si="35">P64+Q75</f>
        <v>54222.73447514388</v>
      </c>
      <c r="R64" s="30">
        <f t="shared" si="35"/>
        <v>63758.729701428994</v>
      </c>
    </row>
    <row r="65" spans="1:18" x14ac:dyDescent="0.3">
      <c r="B65" s="1" t="s">
        <v>86</v>
      </c>
      <c r="C65" s="24">
        <f>IFERROR(SUM(C62:C64),0)</f>
        <v>34947</v>
      </c>
      <c r="D65" s="24">
        <f t="shared" ref="D65:L65" si="36">IFERROR(SUM(D62:D64),0)</f>
        <v>32960</v>
      </c>
      <c r="E65" s="24">
        <f t="shared" si="36"/>
        <v>34395</v>
      </c>
      <c r="F65" s="24">
        <f t="shared" si="36"/>
        <v>37136</v>
      </c>
      <c r="G65" s="24">
        <f t="shared" si="36"/>
        <v>44008</v>
      </c>
      <c r="H65" s="24">
        <f t="shared" si="36"/>
        <v>40170</v>
      </c>
      <c r="I65" s="24">
        <f t="shared" si="36"/>
        <v>37597</v>
      </c>
      <c r="J65" s="24">
        <f t="shared" si="36"/>
        <v>44979</v>
      </c>
      <c r="K65" s="24">
        <f t="shared" si="36"/>
        <v>55613</v>
      </c>
      <c r="L65" s="24">
        <f t="shared" si="36"/>
        <v>57435</v>
      </c>
      <c r="N65" s="44">
        <f>SUM(N62:N64)</f>
        <v>62893.001601254626</v>
      </c>
      <c r="O65" s="44">
        <f t="shared" ref="O65:R65" si="37">SUM(O62:O64)</f>
        <v>73370.389641559435</v>
      </c>
      <c r="P65" s="44">
        <f t="shared" si="37"/>
        <v>84216.54762012948</v>
      </c>
      <c r="Q65" s="44">
        <f t="shared" si="37"/>
        <v>95552.171635113744</v>
      </c>
      <c r="R65" s="44">
        <f t="shared" si="37"/>
        <v>107567.93309099704</v>
      </c>
    </row>
    <row r="67" spans="1:18" x14ac:dyDescent="0.3">
      <c r="B67" s="1" t="s">
        <v>87</v>
      </c>
      <c r="C67" s="24">
        <f>IFERROR(SUM(C65+C60),0)</f>
        <v>83148</v>
      </c>
      <c r="D67" s="24">
        <f t="shared" ref="D67:L67" si="38">IFERROR(SUM(D65+D60),0)</f>
        <v>79349</v>
      </c>
      <c r="E67" s="24">
        <f t="shared" si="38"/>
        <v>84066</v>
      </c>
      <c r="F67" s="24">
        <f t="shared" si="38"/>
        <v>91800</v>
      </c>
      <c r="G67" s="24">
        <f t="shared" si="38"/>
        <v>107511</v>
      </c>
      <c r="H67" s="24">
        <f t="shared" si="38"/>
        <v>116729</v>
      </c>
      <c r="I67" s="24">
        <f t="shared" si="38"/>
        <v>124596</v>
      </c>
      <c r="J67" s="24">
        <f t="shared" si="38"/>
        <v>136020</v>
      </c>
      <c r="K67" s="24">
        <f>IFERROR(SUM(K65+K60),0)</f>
        <v>147795</v>
      </c>
      <c r="L67" s="24">
        <f t="shared" si="38"/>
        <v>154288</v>
      </c>
      <c r="N67" s="40">
        <f>N60+N65</f>
        <v>164039.95501340477</v>
      </c>
      <c r="O67" s="40">
        <f t="shared" ref="O67:R67" si="39">O60+O65</f>
        <v>174970.88510234572</v>
      </c>
      <c r="P67" s="40">
        <f t="shared" si="39"/>
        <v>186983.97672698376</v>
      </c>
      <c r="Q67" s="40">
        <f t="shared" si="39"/>
        <v>200274.89348160007</v>
      </c>
      <c r="R67" s="40">
        <f t="shared" si="39"/>
        <v>214363.26524149335</v>
      </c>
    </row>
    <row r="69" spans="1:18" x14ac:dyDescent="0.3">
      <c r="B69" s="1" t="s">
        <v>88</v>
      </c>
      <c r="C69" t="b">
        <f>C67=C54</f>
        <v>1</v>
      </c>
      <c r="D69" t="b">
        <f t="shared" ref="D69:R69" si="40">D67=D54</f>
        <v>1</v>
      </c>
      <c r="E69" t="b">
        <f t="shared" si="40"/>
        <v>1</v>
      </c>
      <c r="F69" t="b">
        <f t="shared" si="40"/>
        <v>1</v>
      </c>
      <c r="G69" t="b">
        <f t="shared" si="40"/>
        <v>1</v>
      </c>
      <c r="H69" t="b">
        <f t="shared" si="40"/>
        <v>1</v>
      </c>
      <c r="I69" t="b">
        <f t="shared" si="40"/>
        <v>1</v>
      </c>
      <c r="J69" t="b">
        <f t="shared" si="40"/>
        <v>1</v>
      </c>
      <c r="K69" t="b">
        <f>K67=K54</f>
        <v>1</v>
      </c>
      <c r="L69" t="b">
        <f t="shared" si="40"/>
        <v>1</v>
      </c>
      <c r="N69" t="b">
        <f t="shared" si="40"/>
        <v>1</v>
      </c>
      <c r="O69" t="b">
        <f t="shared" si="40"/>
        <v>1</v>
      </c>
      <c r="P69" t="b">
        <f t="shared" si="40"/>
        <v>1</v>
      </c>
      <c r="Q69" t="b">
        <f t="shared" si="40"/>
        <v>1</v>
      </c>
      <c r="R69" t="b">
        <f t="shared" si="40"/>
        <v>1</v>
      </c>
    </row>
    <row r="71" spans="1:18" x14ac:dyDescent="0.3">
      <c r="A71" t="s">
        <v>6</v>
      </c>
      <c r="B71" s="16" t="s">
        <v>89</v>
      </c>
      <c r="C71" s="17"/>
      <c r="D71" s="17"/>
      <c r="E71" s="17"/>
      <c r="F71" s="17"/>
      <c r="G71" s="17"/>
      <c r="H71" s="17"/>
      <c r="I71" s="17"/>
      <c r="J71" s="17"/>
      <c r="K71" s="17"/>
      <c r="L71" s="17"/>
      <c r="M71" s="17"/>
    </row>
    <row r="72" spans="1:18" x14ac:dyDescent="0.3">
      <c r="B72" s="5" t="s">
        <v>17</v>
      </c>
      <c r="C72">
        <f>IFERROR('Data Sheet'!B82,0)</f>
        <v>11531</v>
      </c>
      <c r="D72">
        <f>IFERROR('Data Sheet'!C82,0)</f>
        <v>13218</v>
      </c>
      <c r="E72">
        <f>IFERROR('Data Sheet'!D82,0)</f>
        <v>14841</v>
      </c>
      <c r="F72">
        <f>IFERROR('Data Sheet'!E82,0)</f>
        <v>17003</v>
      </c>
      <c r="G72">
        <f>IFERROR('Data Sheet'!F82,0)</f>
        <v>23224</v>
      </c>
      <c r="H72">
        <f>IFERROR('Data Sheet'!G82,0)</f>
        <v>23885</v>
      </c>
      <c r="I72">
        <f>IFERROR('Data Sheet'!H82,0)</f>
        <v>22467</v>
      </c>
      <c r="J72">
        <f>IFERROR('Data Sheet'!I82,0)</f>
        <v>25210</v>
      </c>
      <c r="K72">
        <f>IFERROR('Data Sheet'!J82,0)</f>
        <v>35694</v>
      </c>
      <c r="L72">
        <f>IFERROR('Data Sheet'!K82,0)</f>
        <v>33986</v>
      </c>
      <c r="N72" s="30">
        <f>N36+N27-(N62-L62)+(N53-L53)</f>
        <v>33965.755615979928</v>
      </c>
      <c r="O72" s="30">
        <f>O36+O27-(O62-N62)+(O53-N53)</f>
        <v>35175.083023838306</v>
      </c>
      <c r="P72" s="30">
        <f t="shared" ref="P72:R72" si="41">P36+P27-(P62-O62)+(P53-O53)</f>
        <v>37112.400603198046</v>
      </c>
      <c r="Q72" s="30">
        <f t="shared" si="41"/>
        <v>39524.850604684449</v>
      </c>
      <c r="R72" s="30">
        <f t="shared" si="41"/>
        <v>41896.341640965511</v>
      </c>
    </row>
    <row r="73" spans="1:18" x14ac:dyDescent="0.3">
      <c r="B73" s="5" t="s">
        <v>16</v>
      </c>
      <c r="C73" s="12">
        <f>IFERROR('Data Sheet'!B83,0)</f>
        <v>-14664</v>
      </c>
      <c r="D73" s="12">
        <f>IFERROR('Data Sheet'!C83,0)</f>
        <v>4533</v>
      </c>
      <c r="E73" s="12">
        <f>IFERROR('Data Sheet'!D83,0)</f>
        <v>-632</v>
      </c>
      <c r="F73" s="12">
        <f>IFERROR('Data Sheet'!E83,0)</f>
        <v>-331</v>
      </c>
      <c r="G73" s="12">
        <f>IFERROR('Data Sheet'!F83,0)</f>
        <v>-7373</v>
      </c>
      <c r="H73" s="12">
        <f>IFERROR('Data Sheet'!G83,0)</f>
        <v>-6485</v>
      </c>
      <c r="I73" s="12">
        <f>IFERROR('Data Sheet'!H83,0)</f>
        <v>-1071</v>
      </c>
      <c r="J73" s="12">
        <f>IFERROR('Data Sheet'!I83,0)</f>
        <v>-5093</v>
      </c>
      <c r="K73" s="12">
        <f>IFERROR('Data Sheet'!J83,0)</f>
        <v>-1864</v>
      </c>
      <c r="L73" s="12">
        <f>IFERROR('Data Sheet'!K83,0)</f>
        <v>3546</v>
      </c>
      <c r="N73" s="12">
        <f>-'Capex Schedule'!C8-(N58-L58)-(N59-L59)</f>
        <v>-9261.1932499999912</v>
      </c>
      <c r="O73" s="12">
        <f>-'Capex Schedule'!D8-(O58-N58)-(O59-N59)</f>
        <v>-5619.4714799999965</v>
      </c>
      <c r="P73" s="12">
        <f>-'Capex Schedule'!E8-(P58-O58)-(P59-O59)</f>
        <v>-6591.1595490000027</v>
      </c>
      <c r="Q73" s="12">
        <f>-'Capex Schedule'!F8-(Q58-P58)-(Q59-P59)</f>
        <v>-7704.9721967400073</v>
      </c>
      <c r="R73" s="12">
        <f>-'Capex Schedule'!G8-(R58-Q58)-(R59-Q59)</f>
        <v>-8167.2705285444081</v>
      </c>
    </row>
    <row r="74" spans="1:18" x14ac:dyDescent="0.3">
      <c r="B74" s="5" t="s">
        <v>15</v>
      </c>
      <c r="C74" s="12">
        <f>IFERROR('Data Sheet'!B84,0)</f>
        <v>-6939</v>
      </c>
      <c r="D74" s="12">
        <f>IFERROR('Data Sheet'!C84,0)</f>
        <v>-20505</v>
      </c>
      <c r="E74" s="12">
        <f>IFERROR('Data Sheet'!D84,0)</f>
        <v>-14512</v>
      </c>
      <c r="F74" s="12">
        <f>IFERROR('Data Sheet'!E84,0)</f>
        <v>-17591</v>
      </c>
      <c r="G74" s="12">
        <f>IFERROR('Data Sheet'!F84,0)</f>
        <v>-9786</v>
      </c>
      <c r="H74" s="12">
        <f>IFERROR('Data Sheet'!G84,0)</f>
        <v>-24642</v>
      </c>
      <c r="I74" s="12">
        <f>IFERROR('Data Sheet'!H84,0)</f>
        <v>-26695</v>
      </c>
      <c r="J74" s="12">
        <f>IFERROR('Data Sheet'!I84,0)</f>
        <v>-17504</v>
      </c>
      <c r="K74" s="12">
        <f>IFERROR('Data Sheet'!J84,0)</f>
        <v>-24161</v>
      </c>
      <c r="L74" s="12">
        <f>IFERROR('Data Sheet'!K84,0)</f>
        <v>-39786</v>
      </c>
      <c r="N74" s="12">
        <f>-N36*'Assumption sheet'!C10</f>
        <v>-19717.721072944489</v>
      </c>
      <c r="O74" s="12">
        <f>-O36*'Assumption sheet'!D10</f>
        <v>-20506.429915862267</v>
      </c>
      <c r="P74" s="12">
        <f>-P36*'Assumption sheet'!E10</f>
        <v>-21531.751411655383</v>
      </c>
      <c r="Q74" s="12">
        <f>-Q36*'Assumption sheet'!F10</f>
        <v>-22823.65649635471</v>
      </c>
      <c r="R74" s="12">
        <f>-R36*'Assumption sheet'!G10</f>
        <v>-24193.075886135983</v>
      </c>
    </row>
    <row r="75" spans="1:18" x14ac:dyDescent="0.3">
      <c r="B75" s="5" t="s">
        <v>14</v>
      </c>
      <c r="C75" s="12">
        <f>SUM(C72:C74)</f>
        <v>-10072</v>
      </c>
      <c r="D75" s="12">
        <f t="shared" ref="D75:R75" si="42">SUM(D72:D74)</f>
        <v>-2754</v>
      </c>
      <c r="E75" s="12">
        <f t="shared" si="42"/>
        <v>-303</v>
      </c>
      <c r="F75" s="12">
        <f t="shared" si="42"/>
        <v>-919</v>
      </c>
      <c r="G75" s="12">
        <f t="shared" si="42"/>
        <v>6065</v>
      </c>
      <c r="H75" s="12">
        <f t="shared" si="42"/>
        <v>-7242</v>
      </c>
      <c r="I75" s="12">
        <f t="shared" si="42"/>
        <v>-5299</v>
      </c>
      <c r="J75" s="12">
        <f t="shared" si="42"/>
        <v>2613</v>
      </c>
      <c r="K75" s="12">
        <f t="shared" si="42"/>
        <v>9669</v>
      </c>
      <c r="L75" s="12">
        <f t="shared" si="42"/>
        <v>-2254</v>
      </c>
      <c r="N75" s="39">
        <f t="shared" si="42"/>
        <v>4986.8412930354498</v>
      </c>
      <c r="O75" s="39">
        <f t="shared" si="42"/>
        <v>9049.1816279760424</v>
      </c>
      <c r="P75" s="39">
        <f t="shared" si="42"/>
        <v>8989.4896425426596</v>
      </c>
      <c r="Q75" s="39">
        <f t="shared" si="42"/>
        <v>8996.2219115897315</v>
      </c>
      <c r="R75" s="39">
        <f t="shared" si="42"/>
        <v>9535.9952262851184</v>
      </c>
    </row>
    <row r="76" spans="1:18" x14ac:dyDescent="0.3">
      <c r="C76" s="12"/>
      <c r="D76" s="12"/>
      <c r="E76" s="12"/>
      <c r="F76" s="12"/>
      <c r="G76" s="12"/>
      <c r="H76" s="12"/>
      <c r="I76" s="12"/>
      <c r="J76" s="12"/>
      <c r="K76" s="12"/>
      <c r="L76" s="12"/>
    </row>
    <row r="77" spans="1:18" x14ac:dyDescent="0.3">
      <c r="C77" s="12"/>
      <c r="D77" s="12"/>
      <c r="E77" s="12"/>
      <c r="F77" s="12"/>
      <c r="G77" s="12"/>
      <c r="H77" s="12"/>
      <c r="I77" s="12"/>
      <c r="J77" s="12"/>
      <c r="K77" s="12"/>
      <c r="L77" s="12"/>
    </row>
    <row r="78" spans="1:18" x14ac:dyDescent="0.3">
      <c r="C78" s="12"/>
      <c r="D78" s="12"/>
      <c r="E78" s="12"/>
      <c r="F78" s="12"/>
      <c r="G78" s="12"/>
      <c r="H78" s="12"/>
      <c r="I78" s="12"/>
      <c r="J78" s="12"/>
      <c r="K78" s="12"/>
      <c r="L78" s="12"/>
    </row>
    <row r="79" spans="1:18" x14ac:dyDescent="0.3">
      <c r="C79" s="12"/>
      <c r="D79" s="12"/>
      <c r="E79" s="12"/>
      <c r="F79" s="12"/>
      <c r="G79" s="12"/>
      <c r="H79" s="12"/>
      <c r="I79" s="12"/>
      <c r="J79" s="12"/>
      <c r="K79" s="12"/>
      <c r="L79" s="12"/>
    </row>
    <row r="80" spans="1:18" x14ac:dyDescent="0.3">
      <c r="C80" s="12"/>
      <c r="D80" s="12"/>
      <c r="E80" s="12"/>
      <c r="F80" s="12"/>
      <c r="G80" s="12"/>
      <c r="H80" s="12"/>
      <c r="I80" s="12"/>
      <c r="J80" s="12"/>
      <c r="K80" s="12"/>
      <c r="L80" s="12"/>
    </row>
    <row r="81" spans="2:12" x14ac:dyDescent="0.3">
      <c r="B81" s="1"/>
      <c r="C81" s="24"/>
      <c r="D81" s="24"/>
      <c r="E81" s="24"/>
      <c r="F81" s="24"/>
      <c r="G81" s="24"/>
      <c r="H81" s="24"/>
      <c r="I81" s="24"/>
      <c r="J81" s="24"/>
      <c r="K81" s="24"/>
      <c r="L81" s="24"/>
    </row>
    <row r="83" spans="2:12" x14ac:dyDescent="0.3">
      <c r="B83" s="1"/>
    </row>
    <row r="84" spans="2:12" x14ac:dyDescent="0.3">
      <c r="C84" s="12"/>
      <c r="D84" s="12"/>
      <c r="E84" s="12"/>
      <c r="F84" s="12"/>
      <c r="G84" s="12"/>
      <c r="H84" s="12"/>
      <c r="I84" s="12"/>
      <c r="J84" s="12"/>
      <c r="K84" s="12"/>
      <c r="L84" s="12"/>
    </row>
    <row r="85" spans="2:12" x14ac:dyDescent="0.3">
      <c r="C85" s="12"/>
      <c r="D85" s="12"/>
      <c r="E85" s="12"/>
      <c r="F85" s="12"/>
      <c r="G85" s="12"/>
      <c r="H85" s="12"/>
      <c r="I85" s="12"/>
      <c r="J85" s="12"/>
      <c r="K85" s="12"/>
      <c r="L85" s="12"/>
    </row>
    <row r="86" spans="2:12" x14ac:dyDescent="0.3">
      <c r="C86" s="12"/>
      <c r="D86" s="12"/>
      <c r="E86" s="12"/>
      <c r="F86" s="12"/>
      <c r="G86" s="12"/>
      <c r="H86" s="12"/>
      <c r="I86" s="12"/>
      <c r="J86" s="12"/>
      <c r="K86" s="12"/>
      <c r="L86" s="12"/>
    </row>
    <row r="87" spans="2:12" x14ac:dyDescent="0.3">
      <c r="C87" s="12"/>
      <c r="D87" s="12"/>
      <c r="E87" s="12"/>
      <c r="F87" s="12"/>
      <c r="G87" s="12"/>
      <c r="H87" s="12"/>
      <c r="I87" s="12"/>
      <c r="J87" s="12"/>
      <c r="K87" s="12"/>
      <c r="L87" s="12"/>
    </row>
    <row r="88" spans="2:12" x14ac:dyDescent="0.3">
      <c r="C88" s="12"/>
      <c r="D88" s="12"/>
      <c r="E88" s="12"/>
      <c r="F88" s="12"/>
      <c r="G88" s="12"/>
      <c r="H88" s="12"/>
      <c r="I88" s="12"/>
      <c r="J88" s="12"/>
      <c r="K88" s="12"/>
      <c r="L88" s="12"/>
    </row>
    <row r="89" spans="2:12" x14ac:dyDescent="0.3">
      <c r="C89" s="12"/>
      <c r="D89" s="12"/>
      <c r="E89" s="12"/>
      <c r="F89" s="12"/>
      <c r="G89" s="12"/>
      <c r="H89" s="12"/>
      <c r="I89" s="12"/>
      <c r="J89" s="12"/>
      <c r="K89" s="12"/>
      <c r="L89" s="12"/>
    </row>
    <row r="90" spans="2:12" x14ac:dyDescent="0.3">
      <c r="C90" s="12"/>
      <c r="D90" s="12"/>
      <c r="E90" s="12"/>
      <c r="F90" s="12"/>
      <c r="G90" s="12"/>
      <c r="H90" s="12"/>
      <c r="I90" s="12"/>
      <c r="J90" s="12"/>
      <c r="K90" s="12"/>
      <c r="L90" s="12"/>
    </row>
    <row r="91" spans="2:12" x14ac:dyDescent="0.3">
      <c r="C91" s="12"/>
      <c r="D91" s="12"/>
      <c r="E91" s="12"/>
      <c r="F91" s="12"/>
      <c r="G91" s="12"/>
      <c r="H91" s="12"/>
      <c r="I91" s="12"/>
      <c r="J91" s="12"/>
      <c r="K91" s="12"/>
      <c r="L91" s="12"/>
    </row>
    <row r="92" spans="2:12" x14ac:dyDescent="0.3">
      <c r="C92" s="12"/>
      <c r="D92" s="12"/>
      <c r="E92" s="12"/>
      <c r="F92" s="12"/>
      <c r="G92" s="12"/>
      <c r="H92" s="12"/>
      <c r="I92" s="12"/>
      <c r="J92" s="12"/>
      <c r="K92" s="12"/>
      <c r="L92" s="12"/>
    </row>
    <row r="93" spans="2:12" x14ac:dyDescent="0.3">
      <c r="C93" s="12"/>
      <c r="D93" s="12"/>
      <c r="E93" s="12"/>
      <c r="F93" s="12"/>
      <c r="G93" s="12"/>
      <c r="H93" s="12"/>
      <c r="I93" s="12"/>
      <c r="J93" s="12"/>
      <c r="K93" s="12"/>
      <c r="L93" s="12"/>
    </row>
    <row r="94" spans="2:12" x14ac:dyDescent="0.3">
      <c r="C94" s="12"/>
      <c r="D94" s="12"/>
      <c r="E94" s="12"/>
      <c r="F94" s="12"/>
      <c r="G94" s="12"/>
      <c r="H94" s="12"/>
      <c r="I94" s="12"/>
      <c r="J94" s="12"/>
      <c r="K94" s="12"/>
      <c r="L94" s="12"/>
    </row>
    <row r="95" spans="2:12" x14ac:dyDescent="0.3">
      <c r="B95" s="1"/>
      <c r="C95" s="24"/>
      <c r="D95" s="24"/>
      <c r="E95" s="24"/>
      <c r="F95" s="24"/>
      <c r="G95" s="24"/>
      <c r="H95" s="24"/>
      <c r="I95" s="24"/>
      <c r="J95" s="24"/>
      <c r="K95" s="24"/>
      <c r="L95" s="24"/>
    </row>
    <row r="97" spans="2:12" x14ac:dyDescent="0.3">
      <c r="B97" s="1"/>
    </row>
    <row r="98" spans="2:12" x14ac:dyDescent="0.3">
      <c r="C98" s="12"/>
      <c r="D98" s="12"/>
      <c r="E98" s="12"/>
      <c r="F98" s="12"/>
      <c r="G98" s="12"/>
      <c r="H98" s="12"/>
      <c r="I98" s="12"/>
      <c r="J98" s="12"/>
      <c r="K98" s="12"/>
      <c r="L98" s="12"/>
    </row>
    <row r="99" spans="2:12" x14ac:dyDescent="0.3">
      <c r="C99" s="12"/>
      <c r="D99" s="12"/>
      <c r="E99" s="12"/>
      <c r="F99" s="12"/>
      <c r="G99" s="12"/>
      <c r="H99" s="12"/>
      <c r="I99" s="12"/>
      <c r="J99" s="12"/>
      <c r="K99" s="12"/>
      <c r="L99" s="12"/>
    </row>
    <row r="100" spans="2:12" x14ac:dyDescent="0.3">
      <c r="C100" s="12"/>
      <c r="D100" s="12"/>
      <c r="E100" s="12"/>
      <c r="F100" s="12"/>
      <c r="G100" s="12"/>
      <c r="H100" s="12"/>
      <c r="I100" s="12"/>
      <c r="J100" s="12"/>
      <c r="K100" s="12"/>
      <c r="L100" s="12"/>
    </row>
    <row r="101" spans="2:12" x14ac:dyDescent="0.3">
      <c r="C101" s="12"/>
      <c r="D101" s="12"/>
      <c r="E101" s="12"/>
      <c r="F101" s="12"/>
      <c r="G101" s="12"/>
      <c r="H101" s="12"/>
      <c r="I101" s="12"/>
      <c r="J101" s="12"/>
      <c r="K101" s="12"/>
      <c r="L101" s="12"/>
    </row>
    <row r="102" spans="2:12" x14ac:dyDescent="0.3">
      <c r="C102" s="12"/>
      <c r="D102" s="12"/>
      <c r="E102" s="12"/>
      <c r="F102" s="12"/>
      <c r="G102" s="12"/>
      <c r="H102" s="12"/>
      <c r="I102" s="12"/>
      <c r="J102" s="12"/>
      <c r="K102" s="12"/>
      <c r="L102" s="12"/>
    </row>
    <row r="103" spans="2:12" x14ac:dyDescent="0.3">
      <c r="C103" s="12"/>
      <c r="D103" s="12"/>
      <c r="E103" s="12"/>
      <c r="F103" s="12"/>
      <c r="G103" s="12"/>
      <c r="H103" s="12"/>
      <c r="I103" s="12"/>
      <c r="J103" s="12"/>
      <c r="K103" s="12"/>
      <c r="L103" s="12"/>
    </row>
    <row r="104" spans="2:12" x14ac:dyDescent="0.3">
      <c r="C104" s="12"/>
      <c r="D104" s="12"/>
      <c r="E104" s="12"/>
      <c r="F104" s="12"/>
      <c r="G104" s="12"/>
      <c r="H104" s="12"/>
      <c r="I104" s="12"/>
      <c r="J104" s="12"/>
      <c r="K104" s="12"/>
      <c r="L104" s="12"/>
    </row>
    <row r="105" spans="2:12" x14ac:dyDescent="0.3">
      <c r="C105" s="12"/>
      <c r="D105" s="12"/>
      <c r="E105" s="12"/>
      <c r="F105" s="12"/>
      <c r="G105" s="12"/>
      <c r="H105" s="12"/>
      <c r="I105" s="12"/>
      <c r="J105" s="12"/>
      <c r="K105" s="12"/>
      <c r="L105" s="12"/>
    </row>
    <row r="106" spans="2:12" x14ac:dyDescent="0.3">
      <c r="B106" s="1"/>
      <c r="C106" s="24"/>
      <c r="D106" s="24"/>
      <c r="E106" s="24"/>
      <c r="F106" s="24"/>
      <c r="G106" s="24"/>
      <c r="H106" s="24"/>
      <c r="I106" s="24"/>
      <c r="J106" s="24"/>
      <c r="K106" s="24"/>
      <c r="L106" s="24"/>
    </row>
    <row r="108" spans="2:12" x14ac:dyDescent="0.3">
      <c r="B108" s="1"/>
      <c r="C108" s="24"/>
      <c r="D108" s="24"/>
      <c r="E108" s="24"/>
      <c r="F108" s="24"/>
      <c r="G108" s="24"/>
      <c r="H108" s="24"/>
      <c r="I108" s="24"/>
      <c r="J108" s="24"/>
      <c r="K108" s="24"/>
      <c r="L108" s="24"/>
    </row>
  </sheetData>
  <mergeCells count="2">
    <mergeCell ref="B2:M2"/>
    <mergeCell ref="N2:R2"/>
  </mergeCells>
  <pageMargins left="0.7" right="0.7" top="0.75" bottom="0.75" header="0.3" footer="0.3"/>
  <ignoredErrors>
    <ignoredError sqref="M6 M9 C15:D15 E15:L15 M21 M27" formulaRange="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A4CA6-D923-422A-920E-DF7DB58B11F7}">
  <dimension ref="B2:N33"/>
  <sheetViews>
    <sheetView showGridLines="0" zoomScale="93" workbookViewId="0">
      <pane xSplit="2" ySplit="3" topLeftCell="C7" activePane="bottomRight" state="frozen"/>
      <selection pane="topRight" activeCell="C1" sqref="C1"/>
      <selection pane="bottomLeft" activeCell="A4" sqref="A4"/>
      <selection pane="bottomRight" activeCell="B3" sqref="B3"/>
    </sheetView>
  </sheetViews>
  <sheetFormatPr defaultRowHeight="14.4" x14ac:dyDescent="0.3"/>
  <cols>
    <col min="1" max="1" width="1.88671875" customWidth="1"/>
    <col min="2" max="2" width="19" customWidth="1"/>
    <col min="3" max="13" width="15.77734375" customWidth="1"/>
    <col min="14" max="14" width="30.77734375" customWidth="1"/>
  </cols>
  <sheetData>
    <row r="2" spans="2:14" x14ac:dyDescent="0.3">
      <c r="B2" s="65" t="str">
        <f>"Historical Financial Statement-"&amp;'Data Sheet'!B1</f>
        <v>Historical Financial Statement-INFOSYS LTD</v>
      </c>
      <c r="C2" s="65"/>
      <c r="D2" s="65"/>
      <c r="E2" s="65"/>
      <c r="F2" s="65"/>
      <c r="G2" s="65"/>
      <c r="H2" s="65"/>
      <c r="I2" s="65"/>
      <c r="J2" s="65"/>
      <c r="K2" s="65"/>
      <c r="L2" s="65"/>
      <c r="M2" s="10"/>
      <c r="N2" s="10"/>
    </row>
    <row r="3" spans="2:14" x14ac:dyDescent="0.3">
      <c r="B3" s="9" t="str">
        <f>'Historical FS'!B3</f>
        <v>Years</v>
      </c>
      <c r="C3" s="10">
        <f>'Historical FS'!C3</f>
        <v>42825</v>
      </c>
      <c r="D3" s="10">
        <f>'Historical FS'!D3</f>
        <v>43190</v>
      </c>
      <c r="E3" s="10">
        <f>'Historical FS'!E3</f>
        <v>43555</v>
      </c>
      <c r="F3" s="10">
        <f>'Historical FS'!F3</f>
        <v>43921</v>
      </c>
      <c r="G3" s="10">
        <f>'Historical FS'!G3</f>
        <v>44286</v>
      </c>
      <c r="H3" s="10">
        <f>'Historical FS'!H3</f>
        <v>44651</v>
      </c>
      <c r="I3" s="10">
        <f>'Historical FS'!I3</f>
        <v>45016</v>
      </c>
      <c r="J3" s="10">
        <f>'Historical FS'!J3</f>
        <v>45382</v>
      </c>
      <c r="K3" s="10">
        <f>'Historical FS'!K3</f>
        <v>45747</v>
      </c>
      <c r="L3" s="10">
        <f>'Historical FS'!L3</f>
        <v>46112</v>
      </c>
      <c r="M3" s="10" t="s">
        <v>164</v>
      </c>
      <c r="N3" s="10" t="s">
        <v>165</v>
      </c>
    </row>
    <row r="4" spans="2:14" ht="57.6" x14ac:dyDescent="0.3">
      <c r="B4" t="s">
        <v>123</v>
      </c>
      <c r="C4" s="42"/>
      <c r="D4" s="42">
        <f>'Historical FS'!D7</f>
        <v>2.9758775772443125E-2</v>
      </c>
      <c r="E4" s="42">
        <f>'Historical FS'!E7</f>
        <v>0.17232920223476356</v>
      </c>
      <c r="F4" s="42">
        <f>'Historical FS'!F7</f>
        <v>9.8167523435137571E-2</v>
      </c>
      <c r="G4" s="42">
        <f>'Historical FS'!G7</f>
        <v>0.10662951173574475</v>
      </c>
      <c r="H4" s="42">
        <f>'Historical FS'!H7</f>
        <v>0.21069551715900947</v>
      </c>
      <c r="I4" s="42">
        <f>'Historical FS'!I7</f>
        <v>0.20655864387829759</v>
      </c>
      <c r="J4" s="42">
        <f>'Historical FS'!J7</f>
        <v>4.7033733741236095E-2</v>
      </c>
      <c r="K4" s="42">
        <f>'Historical FS'!K7</f>
        <v>6.0649443612936782E-2</v>
      </c>
      <c r="L4" s="42">
        <f>'Historical FS'!L7</f>
        <v>9.6079514080618544E-2</v>
      </c>
      <c r="N4" s="34" t="s">
        <v>139</v>
      </c>
    </row>
    <row r="5" spans="2:14" ht="43.2" x14ac:dyDescent="0.3">
      <c r="B5" t="s">
        <v>124</v>
      </c>
      <c r="C5" s="42"/>
      <c r="D5" s="42">
        <f>'Historical FS'!D18/'Historical FS'!C18-1</f>
        <v>1.1717910126854525E-2</v>
      </c>
      <c r="E5" s="42">
        <f>'Historical FS'!E18/'Historical FS'!D18-1</f>
        <v>7.1618318988417862E-2</v>
      </c>
      <c r="F5" s="42">
        <f>'Historical FS'!F18/'Historical FS'!E18-1</f>
        <v>0.10396628656420437</v>
      </c>
      <c r="G5" s="42">
        <f>'Historical FS'!G18/'Historical FS'!F18-1</f>
        <v>0.25248125028068436</v>
      </c>
      <c r="H5" s="42">
        <f>'Historical FS'!H18/'Historical FS'!G18-1</f>
        <v>0.12915486392484499</v>
      </c>
      <c r="I5" s="42">
        <f>'Historical FS'!I18/'Historical FS'!H18-1</f>
        <v>0.1155568257597408</v>
      </c>
      <c r="J5" s="42">
        <f>'Historical FS'!J18/'Historical FS'!I18-1</f>
        <v>3.6863079988613823E-2</v>
      </c>
      <c r="K5" s="42">
        <f>'Historical FS'!K18/'Historical FS'!J18-1</f>
        <v>7.7172271791352109E-2</v>
      </c>
      <c r="L5" s="42">
        <f>'Historical FS'!L18/'Historical FS'!K18-1</f>
        <v>7.758181262106234E-2</v>
      </c>
      <c r="N5" s="34" t="s">
        <v>140</v>
      </c>
    </row>
    <row r="6" spans="2:14" ht="43.2" x14ac:dyDescent="0.3">
      <c r="B6" t="s">
        <v>125</v>
      </c>
      <c r="C6" s="42"/>
      <c r="D6" s="42">
        <f>'Historical FS'!D25</f>
        <v>1.1717910126854525E-2</v>
      </c>
      <c r="E6" s="42">
        <f>'Historical FS'!E25</f>
        <v>7.1618318988417862E-2</v>
      </c>
      <c r="F6" s="42">
        <f>'Historical FS'!F25</f>
        <v>9.5537927615270135E-2</v>
      </c>
      <c r="G6" s="42">
        <f>'Historical FS'!G25</f>
        <v>0.25329230212246001</v>
      </c>
      <c r="H6" s="42">
        <f>'Historical FS'!H25</f>
        <v>0.12988372932765224</v>
      </c>
      <c r="I6" s="42">
        <f>'Historical FS'!I25</f>
        <v>0.11361094244351411</v>
      </c>
      <c r="J6" s="42">
        <f>'Historical FS'!J25</f>
        <v>3.1825747575044527E-2</v>
      </c>
      <c r="K6" s="42">
        <f>'Historical FS'!K25</f>
        <v>7.9682937004589061E-2</v>
      </c>
      <c r="L6" s="42">
        <f>'Historical FS'!L25</f>
        <v>7.8413189077795042E-2</v>
      </c>
      <c r="N6" s="34" t="s">
        <v>141</v>
      </c>
    </row>
    <row r="7" spans="2:14" ht="43.2" x14ac:dyDescent="0.3">
      <c r="B7" t="s">
        <v>126</v>
      </c>
      <c r="C7" s="42"/>
      <c r="D7" s="42">
        <f>'Historical FS'!D36/'Historical FS'!C36-1</f>
        <v>0.12518800318499523</v>
      </c>
      <c r="E7" s="42">
        <f>'Historical FS'!E36/'Historical FS'!D36-1</f>
        <v>-1.4939455889290798E-2</v>
      </c>
      <c r="F7" s="42">
        <f>'Historical FS'!F36/'Historical FS'!E36-1</f>
        <v>0.10440613026819934</v>
      </c>
      <c r="G7" s="42">
        <f>'Historical FS'!G36/'Historical FS'!F36-1</f>
        <v>0.24472390864411686</v>
      </c>
      <c r="H7" s="42">
        <f>'Historical FS'!H36/'Historical FS'!G36-1</f>
        <v>0.15265358262687267</v>
      </c>
      <c r="I7" s="42">
        <f>'Historical FS'!I36/'Historical FS'!H36-1</f>
        <v>7.8383960505767902E-2</v>
      </c>
      <c r="J7" s="42">
        <f>'Historical FS'!J36/'Historical FS'!I36-1</f>
        <v>6.0727799317981113E-3</v>
      </c>
      <c r="K7" s="42">
        <f>'Historical FS'!K36/'Historical FS'!J36-1</f>
        <v>7.4894367832102793E-2</v>
      </c>
      <c r="L7" s="42">
        <f>'Historical FS'!L36/'Historical FS'!K36-1</f>
        <v>0.14215982721382292</v>
      </c>
      <c r="N7" s="34" t="s">
        <v>142</v>
      </c>
    </row>
    <row r="8" spans="2:14" ht="57.6" x14ac:dyDescent="0.3">
      <c r="B8" t="s">
        <v>127</v>
      </c>
      <c r="C8" s="42"/>
      <c r="D8" s="42">
        <f>'Historical FS'!D44/'Historical FS'!C44-1</f>
        <v>0.68963896853592144</v>
      </c>
      <c r="E8" s="42">
        <f>'Historical FS'!E44/'Historical FS'!D44-1</f>
        <v>-2.5838579728767352E-2</v>
      </c>
      <c r="F8" s="42">
        <f>'Historical FS'!F44/'Historical FS'!E44-1</f>
        <v>-0.17390646350868544</v>
      </c>
      <c r="G8" s="42">
        <f>'Historical FS'!G44/'Historical FS'!F44-1</f>
        <v>0.54369512340846549</v>
      </c>
      <c r="H8" s="42">
        <f>'Historical FS'!H44/'Historical FS'!G44-1</f>
        <v>0.14865158399694378</v>
      </c>
      <c r="I8" s="42">
        <f>'Historical FS'!I44/'Historical FS'!H44-1</f>
        <v>9.6761529392781709E-2</v>
      </c>
      <c r="J8" s="42">
        <f>'Historical FS'!J44/'Historical FS'!I44-1</f>
        <v>0.35349861290755547</v>
      </c>
      <c r="K8" s="42">
        <f>'Historical FS'!K44/'Historical FS'!J44-1</f>
        <v>-6.4855345095345629E-2</v>
      </c>
      <c r="L8" s="42">
        <f>'Historical FS'!L44/'Historical FS'!K44-1</f>
        <v>0.11614900276192253</v>
      </c>
      <c r="N8" s="34" t="s">
        <v>143</v>
      </c>
    </row>
    <row r="9" spans="2:14" x14ac:dyDescent="0.3">
      <c r="C9" s="42"/>
      <c r="D9" s="42"/>
      <c r="E9" s="42"/>
      <c r="F9" s="42"/>
      <c r="G9" s="42"/>
      <c r="H9" s="42"/>
      <c r="I9" s="42"/>
      <c r="J9" s="42"/>
      <c r="K9" s="42"/>
      <c r="L9" s="42"/>
    </row>
    <row r="10" spans="2:14" ht="43.2" x14ac:dyDescent="0.3">
      <c r="B10" t="s">
        <v>9</v>
      </c>
      <c r="C10" s="42">
        <f>'Historical FS'!C13</f>
        <v>0.34862157584253256</v>
      </c>
      <c r="D10" s="42">
        <f>'Historical FS'!D13</f>
        <v>0.34212018944442868</v>
      </c>
      <c r="E10" s="42">
        <f>'Historical FS'!E13</f>
        <v>0.32934986392500754</v>
      </c>
      <c r="F10" s="42">
        <f>'Historical FS'!F13</f>
        <v>0.31479992510270843</v>
      </c>
      <c r="G10" s="42">
        <f>'Historical FS'!G13</f>
        <v>0.31831754120550998</v>
      </c>
      <c r="H10" s="42">
        <f>'Historical FS'!H13</f>
        <v>0.30271043480405457</v>
      </c>
      <c r="I10" s="42">
        <f>'Historical FS'!I13</f>
        <v>0.28539794367943749</v>
      </c>
      <c r="J10" s="42">
        <f>'Historical FS'!J13</f>
        <v>0.28398516301164833</v>
      </c>
      <c r="K10" s="42">
        <f>'Historical FS'!K13</f>
        <v>0.2847107184489846</v>
      </c>
      <c r="L10" s="42">
        <f>'Historical FS'!L13</f>
        <v>0.28207668625804644</v>
      </c>
      <c r="N10" s="34" t="s">
        <v>144</v>
      </c>
    </row>
    <row r="11" spans="2:14" ht="43.2" x14ac:dyDescent="0.3">
      <c r="B11" t="s">
        <v>128</v>
      </c>
      <c r="C11" s="42">
        <f>'Historical FS'!C19</f>
        <v>0.27165469306699375</v>
      </c>
      <c r="D11" s="42">
        <f>'Historical FS'!D19</f>
        <v>0.26689543688494372</v>
      </c>
      <c r="E11" s="42">
        <f>'Historical FS'!E19</f>
        <v>0.24396734200181433</v>
      </c>
      <c r="F11" s="42">
        <f>'Historical FS'!F19</f>
        <v>0.24525558700752279</v>
      </c>
      <c r="G11" s="42">
        <f>'Historical FS'!G19</f>
        <v>0.27757982323433394</v>
      </c>
      <c r="H11" s="42">
        <f>'Historical FS'!H19</f>
        <v>0.25888475102966929</v>
      </c>
      <c r="I11" s="42">
        <f>'Historical FS'!I19</f>
        <v>0.23935898396778568</v>
      </c>
      <c r="J11" s="42">
        <f>'Historical FS'!J19</f>
        <v>0.23703390381987374</v>
      </c>
      <c r="K11" s="42">
        <f>'Historical FS'!K19</f>
        <v>0.24072642493404503</v>
      </c>
      <c r="L11" s="42">
        <f>'Historical FS'!L19</f>
        <v>0.23666386789812482</v>
      </c>
      <c r="N11" s="34" t="s">
        <v>145</v>
      </c>
    </row>
    <row r="12" spans="2:14" ht="43.2" x14ac:dyDescent="0.3">
      <c r="B12" t="s">
        <v>129</v>
      </c>
      <c r="C12" s="42">
        <f>'Historical FS'!C24/'Historical FS'!C6</f>
        <v>0.27165469306699375</v>
      </c>
      <c r="D12" s="42">
        <f>'Historical FS'!D24/'Historical FS'!D6</f>
        <v>0.26689543688494372</v>
      </c>
      <c r="E12" s="42">
        <f>'Historical FS'!E24/'Historical FS'!E6</f>
        <v>0.24396734200181433</v>
      </c>
      <c r="F12" s="42">
        <f>'Historical FS'!F24/'Historical FS'!F6</f>
        <v>0.24338315471797867</v>
      </c>
      <c r="G12" s="42">
        <f>'Historical FS'!G24/'Historical FS'!G6</f>
        <v>0.27563898399554104</v>
      </c>
      <c r="H12" s="42">
        <f>'Historical FS'!H24/'Historical FS'!H6</f>
        <v>0.25724056855829858</v>
      </c>
      <c r="I12" s="42">
        <f>'Historical FS'!I24/'Historical FS'!I6</f>
        <v>0.23742394407462167</v>
      </c>
      <c r="J12" s="42">
        <f>'Historical FS'!J24/'Historical FS'!J6</f>
        <v>0.23397540183510118</v>
      </c>
      <c r="K12" s="42">
        <f>'Historical FS'!K24/'Historical FS'!K6</f>
        <v>0.23817412111172465</v>
      </c>
      <c r="L12" s="42">
        <f>'Historical FS'!L24/'Historical FS'!L6</f>
        <v>0.23433529247131263</v>
      </c>
      <c r="N12" s="34" t="s">
        <v>146</v>
      </c>
    </row>
    <row r="13" spans="2:14" ht="43.2" x14ac:dyDescent="0.3">
      <c r="B13" t="s">
        <v>130</v>
      </c>
      <c r="C13" s="42">
        <f>'Historical FS'!C31</f>
        <v>0.24678757081946148</v>
      </c>
      <c r="D13" s="42">
        <f>'Historical FS'!D31</f>
        <v>0.24047814866282863</v>
      </c>
      <c r="E13" s="42">
        <f>'Historical FS'!E31</f>
        <v>0.2196431811309344</v>
      </c>
      <c r="F13" s="42">
        <f>'Historical FS'!F31</f>
        <v>0.211518762872972</v>
      </c>
      <c r="G13" s="42">
        <f>'Historical FS'!G31</f>
        <v>0.24312246197945697</v>
      </c>
      <c r="H13" s="42">
        <f>'Historical FS'!H31</f>
        <v>0.2286646772058763</v>
      </c>
      <c r="I13" s="42">
        <f>'Historical FS'!I31</f>
        <v>0.20863681890343197</v>
      </c>
      <c r="J13" s="42">
        <f>'Historical FS'!J31</f>
        <v>0.20353354591006703</v>
      </c>
      <c r="K13" s="42">
        <f>'Historical FS'!K31</f>
        <v>0.20865083747469171</v>
      </c>
      <c r="L13" s="42">
        <f>'Historical FS'!L31</f>
        <v>0.20689616568709768</v>
      </c>
      <c r="N13" s="34" t="s">
        <v>147</v>
      </c>
    </row>
    <row r="14" spans="2:14" ht="43.2" x14ac:dyDescent="0.3">
      <c r="B14" t="s">
        <v>131</v>
      </c>
      <c r="C14" s="42">
        <f>'Historical FS'!C37</f>
        <v>0.16504585012557677</v>
      </c>
      <c r="D14" s="42">
        <f>'Historical FS'!D37</f>
        <v>0.18034088653186239</v>
      </c>
      <c r="E14" s="42">
        <f>'Historical FS'!E37</f>
        <v>0.1515331115814938</v>
      </c>
      <c r="F14" s="42">
        <f>'Historical FS'!F37</f>
        <v>0.15239395975372008</v>
      </c>
      <c r="G14" s="42">
        <f>'Historical FS'!G37</f>
        <v>0.17141094036149376</v>
      </c>
      <c r="H14" s="42">
        <f>'Historical FS'!H37</f>
        <v>0.16319333119589613</v>
      </c>
      <c r="I14" s="42">
        <f>'Historical FS'!I37</f>
        <v>0.14585703870761138</v>
      </c>
      <c r="J14" s="42">
        <f>'Historical FS'!J37</f>
        <v>0.14015097286392919</v>
      </c>
      <c r="K14" s="42">
        <f>'Historical FS'!K37</f>
        <v>0.14203325357383889</v>
      </c>
      <c r="L14" s="42">
        <f>'Historical FS'!L37</f>
        <v>0.14800447802966696</v>
      </c>
      <c r="N14" s="34" t="s">
        <v>148</v>
      </c>
    </row>
    <row r="15" spans="2:14" x14ac:dyDescent="0.3">
      <c r="N15" s="34"/>
    </row>
    <row r="16" spans="2:14" ht="43.2" x14ac:dyDescent="0.3">
      <c r="B16" t="s">
        <v>132</v>
      </c>
      <c r="C16" s="42">
        <f>'Historical FS'!C24/('Historical FS'!C50+'Historical FS'!C52+'Historical FS'!C51)</f>
        <v>0.26969354324316486</v>
      </c>
      <c r="D16" s="42">
        <f>'Historical FS'!D24/('Historical FS'!D50+'Historical FS'!D52+'Historical FS'!D51)</f>
        <v>0.28991266577330066</v>
      </c>
      <c r="E16" s="42">
        <f>'Historical FS'!E24/('Historical FS'!E50+'Historical FS'!E52+'Historical FS'!E51)</f>
        <v>0.31055613721746628</v>
      </c>
      <c r="F16" s="42">
        <f>'Historical FS'!F24/('Historical FS'!F50+'Historical FS'!F52+'Historical FS'!F51)</f>
        <v>0.31529757573163247</v>
      </c>
      <c r="G16" s="42">
        <f>'Historical FS'!G24/('Historical FS'!G50+'Historical FS'!G52+'Historical FS'!G51)</f>
        <v>0.33907145305842595</v>
      </c>
      <c r="H16" s="42">
        <f>'Historical FS'!H24/('Historical FS'!H50+'Historical FS'!H52+'Historical FS'!H51)</f>
        <v>0.38714985647827377</v>
      </c>
      <c r="I16" s="42">
        <f>'Historical FS'!I24/('Historical FS'!I50+'Historical FS'!I52+'Historical FS'!I51)</f>
        <v>0.41629034955678207</v>
      </c>
      <c r="J16" s="42">
        <f>'Historical FS'!J24/('Historical FS'!J50+'Historical FS'!J52+'Historical FS'!J51)</f>
        <v>0.37268722466960352</v>
      </c>
      <c r="K16" s="42">
        <f>'Historical FS'!K24/('Historical FS'!K50+'Historical FS'!K52+'Historical FS'!K51)</f>
        <v>0.37310778989860155</v>
      </c>
      <c r="L16" s="42">
        <f>'Historical FS'!L24/('Historical FS'!L50+'Historical FS'!L52+'Historical FS'!L51)</f>
        <v>0.41031873603324576</v>
      </c>
      <c r="N16" s="34" t="s">
        <v>149</v>
      </c>
    </row>
    <row r="17" spans="2:14" ht="43.2" x14ac:dyDescent="0.3">
      <c r="B17" t="s">
        <v>133</v>
      </c>
      <c r="C17" s="38">
        <f>IFERROR('Historical FS'!C24/'Historical FS'!C21,0)</f>
        <v>0</v>
      </c>
      <c r="D17" s="38">
        <f>IFERROR('Historical FS'!D24/'Historical FS'!D21,0)</f>
        <v>0</v>
      </c>
      <c r="E17" s="38">
        <f>IFERROR('Historical FS'!E24/'Historical FS'!E21,0)</f>
        <v>0</v>
      </c>
      <c r="F17" s="38">
        <f>IFERROR('Historical FS'!F24/'Historical FS'!F21,0)</f>
        <v>129.98235294117646</v>
      </c>
      <c r="G17" s="38">
        <f>IFERROR('Historical FS'!G24/'Historical FS'!G21,0)</f>
        <v>142.02051282051283</v>
      </c>
      <c r="H17" s="38">
        <f>IFERROR('Historical FS'!H24/'Historical FS'!H21,0)</f>
        <v>156.45500000000001</v>
      </c>
      <c r="I17" s="38">
        <f>IFERROR('Historical FS'!I24/'Historical FS'!I21,0)</f>
        <v>122.69718309859155</v>
      </c>
      <c r="J17" s="38">
        <f>IFERROR('Historical FS'!J24/'Historical FS'!J21,0)</f>
        <v>76.5</v>
      </c>
      <c r="K17" s="38">
        <f>IFERROR('Historical FS'!K24/'Historical FS'!K21,0)</f>
        <v>93.317307692307693</v>
      </c>
      <c r="L17" s="38">
        <f>IFERROR('Historical FS'!L24/'Historical FS'!L21,0)</f>
        <v>100.63461538461539</v>
      </c>
      <c r="N17" s="34" t="s">
        <v>150</v>
      </c>
    </row>
    <row r="18" spans="2:14" x14ac:dyDescent="0.3">
      <c r="N18" s="34"/>
    </row>
    <row r="19" spans="2:14" ht="43.2" x14ac:dyDescent="0.3">
      <c r="B19" t="s">
        <v>134</v>
      </c>
      <c r="C19" s="38">
        <f>'Historical FS'!C6/'Historical FS'!C62</f>
        <v>5.5578639831196233</v>
      </c>
      <c r="D19" s="38">
        <f>'Historical FS'!D6/AVERAGE('Historical FS'!C62:D62)</f>
        <v>5.5389569588438583</v>
      </c>
      <c r="E19" s="38">
        <f>'Historical FS'!E6/AVERAGE('Historical FS'!D62:E62)</f>
        <v>5.9119024634416677</v>
      </c>
      <c r="F19" s="38">
        <f>'Historical FS'!F6/AVERAGE('Historical FS'!E62:F62)</f>
        <v>5.4506213603890252</v>
      </c>
      <c r="G19" s="38">
        <f>'Historical FS'!G6/AVERAGE('Historical FS'!F62:G62)</f>
        <v>5.3186522326036894</v>
      </c>
      <c r="H19" s="38">
        <f>'Historical FS'!H6/AVERAGE('Historical FS'!G62:H62)</f>
        <v>5.7935321013526382</v>
      </c>
      <c r="I19" s="38">
        <f>'Historical FS'!I6/AVERAGE('Historical FS'!H62:I62)</f>
        <v>6.0997880387348822</v>
      </c>
      <c r="J19" s="38">
        <f>'Historical FS'!J6/AVERAGE('Historical FS'!I62:J62)</f>
        <v>5.5260082348922088</v>
      </c>
      <c r="K19" s="38">
        <f>'Historical FS'!K6/AVERAGE('Historical FS'!J62:K62)</f>
        <v>5.3133608254144189</v>
      </c>
      <c r="L19" s="38">
        <f>'Historical FS'!L6/AVERAGE('Historical FS'!K62:L62)</f>
        <v>5.3816724906615256</v>
      </c>
      <c r="N19" s="34" t="s">
        <v>151</v>
      </c>
    </row>
    <row r="20" spans="2:14" ht="43.2" x14ac:dyDescent="0.3">
      <c r="B20" t="s">
        <v>135</v>
      </c>
      <c r="C20" s="38">
        <f>'Historical FS'!C9/'Historical FS'!C53</f>
        <v>3.1490187773542284</v>
      </c>
      <c r="D20" s="38">
        <f>'Historical FS'!D9/AVERAGE('Historical FS'!C53:D53)</f>
        <v>3.2453133743704532</v>
      </c>
      <c r="E20" s="38">
        <f>'Historical FS'!E9/AVERAGE('Historical FS'!D53:E53)</f>
        <v>3.3058669210589078</v>
      </c>
      <c r="F20" s="38">
        <f>'Historical FS'!F9/AVERAGE('Historical FS'!E53:F53)</f>
        <v>3.0468960450593854</v>
      </c>
      <c r="G20" s="38">
        <f>'Historical FS'!G9/AVERAGE('Historical FS'!F53:G53)</f>
        <v>2.8806359353970392</v>
      </c>
      <c r="H20" s="38">
        <f>'Historical FS'!H9/AVERAGE('Historical FS'!G53:H53)</f>
        <v>2.7476190476190476</v>
      </c>
      <c r="I20" s="38">
        <f>'Historical FS'!I9/AVERAGE('Historical FS'!H53:I53)</f>
        <v>2.7314278273325088</v>
      </c>
      <c r="J20" s="38">
        <f>'Historical FS'!J9/AVERAGE('Historical FS'!I53:J53)</f>
        <v>2.7358736868278735</v>
      </c>
      <c r="K20" s="38">
        <f>'Historical FS'!K9/AVERAGE('Historical FS'!J53:K53)</f>
        <v>2.7993276907377393</v>
      </c>
      <c r="L20" s="38">
        <f>'Historical FS'!L9/AVERAGE('Historical FS'!K53:L53)</f>
        <v>2.6717425268201227</v>
      </c>
      <c r="N20" s="34" t="s">
        <v>152</v>
      </c>
    </row>
    <row r="21" spans="2:14" ht="28.8" x14ac:dyDescent="0.3">
      <c r="B21" t="s">
        <v>136</v>
      </c>
      <c r="C21" s="45" t="s">
        <v>65</v>
      </c>
      <c r="D21" s="45" t="str">
        <f>C21</f>
        <v>-</v>
      </c>
      <c r="E21" s="45" t="str">
        <f t="shared" ref="E21:L21" si="0">D21</f>
        <v>-</v>
      </c>
      <c r="F21" s="45" t="str">
        <f t="shared" si="0"/>
        <v>-</v>
      </c>
      <c r="G21" s="45" t="str">
        <f t="shared" si="0"/>
        <v>-</v>
      </c>
      <c r="H21" s="45" t="str">
        <f t="shared" si="0"/>
        <v>-</v>
      </c>
      <c r="I21" s="45" t="str">
        <f t="shared" si="0"/>
        <v>-</v>
      </c>
      <c r="J21" s="45" t="str">
        <f t="shared" si="0"/>
        <v>-</v>
      </c>
      <c r="K21" s="45" t="str">
        <f t="shared" si="0"/>
        <v>-</v>
      </c>
      <c r="L21" s="45" t="str">
        <f t="shared" si="0"/>
        <v>-</v>
      </c>
      <c r="N21" s="34" t="s">
        <v>153</v>
      </c>
    </row>
    <row r="22" spans="2:14" ht="28.8" x14ac:dyDescent="0.3">
      <c r="B22" t="s">
        <v>137</v>
      </c>
      <c r="C22" s="38">
        <f>'Historical FS'!C6/'Historical FS'!C56</f>
        <v>4.8299597997037873</v>
      </c>
      <c r="D22" s="38">
        <f>'Historical FS'!D6/AVERAGE('Historical FS'!C56:D56)</f>
        <v>5.2720816357044074</v>
      </c>
      <c r="E22" s="38">
        <f>'Historical FS'!E6/AVERAGE('Historical FS'!D56:E56)</f>
        <v>5.8460613774572199</v>
      </c>
      <c r="F22" s="38">
        <f>'Historical FS'!F6/AVERAGE('Historical FS'!E56:F56)</f>
        <v>4.5971290412415504</v>
      </c>
      <c r="G22" s="38">
        <f>'Historical FS'!G6/AVERAGE('Historical FS'!F56:G56)</f>
        <v>4.076439323244208</v>
      </c>
      <c r="H22" s="38">
        <f>'Historical FS'!H6/AVERAGE('Historical FS'!G56:H56)</f>
        <v>4.7418770100380083</v>
      </c>
      <c r="I22" s="38">
        <f>'Historical FS'!I6/AVERAGE('Historical FS'!H56:I56)</f>
        <v>5.3345570195365744</v>
      </c>
      <c r="J22" s="38">
        <f>'Historical FS'!J6/AVERAGE('Historical FS'!I56:J56)</f>
        <v>5.4064418526923141</v>
      </c>
      <c r="K22" s="38">
        <f>'Historical FS'!K6/AVERAGE('Historical FS'!J56:K56)</f>
        <v>5.5644128842838363</v>
      </c>
      <c r="L22" s="38">
        <f>'Historical FS'!L6/AVERAGE('Historical FS'!K56:L56)</f>
        <v>5.5197664179450339</v>
      </c>
      <c r="N22" s="34" t="s">
        <v>153</v>
      </c>
    </row>
    <row r="24" spans="2:14" ht="43.2" x14ac:dyDescent="0.3">
      <c r="B24" t="s">
        <v>154</v>
      </c>
      <c r="C24" s="38">
        <f>365/C19</f>
        <v>65.672711874306415</v>
      </c>
      <c r="D24" s="38">
        <f t="shared" ref="D24:L24" si="1">365/D19</f>
        <v>65.896883242108842</v>
      </c>
      <c r="E24" s="38">
        <f t="shared" si="1"/>
        <v>61.739854853341399</v>
      </c>
      <c r="F24" s="38">
        <f t="shared" si="1"/>
        <v>66.964842330186912</v>
      </c>
      <c r="G24" s="38">
        <f t="shared" si="1"/>
        <v>68.626408352575851</v>
      </c>
      <c r="H24" s="38">
        <f t="shared" si="1"/>
        <v>63.001290683240029</v>
      </c>
      <c r="I24" s="38">
        <f t="shared" si="1"/>
        <v>59.838144814570036</v>
      </c>
      <c r="J24" s="38">
        <f t="shared" si="1"/>
        <v>66.051294982755266</v>
      </c>
      <c r="K24" s="38">
        <f t="shared" si="1"/>
        <v>68.694751211730775</v>
      </c>
      <c r="L24" s="38">
        <f t="shared" si="1"/>
        <v>67.822781975930582</v>
      </c>
      <c r="N24" s="34" t="s">
        <v>158</v>
      </c>
    </row>
    <row r="25" spans="2:14" ht="43.2" x14ac:dyDescent="0.3">
      <c r="B25" t="s">
        <v>155</v>
      </c>
      <c r="C25" s="38">
        <f>365/C20</f>
        <v>115.9091214777287</v>
      </c>
      <c r="D25" s="38">
        <f t="shared" ref="D25:L25" si="2">365/D20</f>
        <v>112.46987821963575</v>
      </c>
      <c r="E25" s="38">
        <f t="shared" si="2"/>
        <v>110.40976806261948</v>
      </c>
      <c r="F25" s="38">
        <f t="shared" si="2"/>
        <v>119.79404436585757</v>
      </c>
      <c r="G25" s="38">
        <f t="shared" si="2"/>
        <v>126.7081325740984</v>
      </c>
      <c r="H25" s="38">
        <f t="shared" si="2"/>
        <v>132.842287694974</v>
      </c>
      <c r="I25" s="38">
        <f t="shared" si="2"/>
        <v>133.62974351639969</v>
      </c>
      <c r="J25" s="38">
        <f t="shared" si="2"/>
        <v>133.41259202035809</v>
      </c>
      <c r="K25" s="38">
        <f t="shared" si="2"/>
        <v>130.3884504867693</v>
      </c>
      <c r="L25" s="38">
        <f t="shared" si="2"/>
        <v>136.61496058694652</v>
      </c>
      <c r="N25" s="34" t="s">
        <v>159</v>
      </c>
    </row>
    <row r="26" spans="2:14" ht="28.8" x14ac:dyDescent="0.3">
      <c r="B26" t="s">
        <v>156</v>
      </c>
      <c r="C26" s="45" t="str">
        <f>C21</f>
        <v>-</v>
      </c>
      <c r="D26" s="45" t="str">
        <f t="shared" ref="D26:L26" si="3">D21</f>
        <v>-</v>
      </c>
      <c r="E26" s="45" t="str">
        <f t="shared" si="3"/>
        <v>-</v>
      </c>
      <c r="F26" s="45" t="str">
        <f t="shared" si="3"/>
        <v>-</v>
      </c>
      <c r="G26" s="45" t="str">
        <f t="shared" si="3"/>
        <v>-</v>
      </c>
      <c r="H26" s="45" t="str">
        <f t="shared" si="3"/>
        <v>-</v>
      </c>
      <c r="I26" s="45" t="str">
        <f t="shared" si="3"/>
        <v>-</v>
      </c>
      <c r="J26" s="45" t="str">
        <f t="shared" si="3"/>
        <v>-</v>
      </c>
      <c r="K26" s="45" t="str">
        <f t="shared" si="3"/>
        <v>-</v>
      </c>
      <c r="L26" s="45" t="str">
        <f t="shared" si="3"/>
        <v>-</v>
      </c>
      <c r="N26" s="34" t="s">
        <v>160</v>
      </c>
    </row>
    <row r="27" spans="2:14" ht="57.6" x14ac:dyDescent="0.3">
      <c r="B27" t="s">
        <v>157</v>
      </c>
      <c r="C27" s="38">
        <f>C24-C25</f>
        <v>-50.236409603422288</v>
      </c>
      <c r="D27" s="38">
        <f t="shared" ref="D27:L27" si="4">D24-D25</f>
        <v>-46.572994977526903</v>
      </c>
      <c r="E27" s="38">
        <f t="shared" si="4"/>
        <v>-48.669913209278079</v>
      </c>
      <c r="F27" s="38">
        <f t="shared" si="4"/>
        <v>-52.829202035670662</v>
      </c>
      <c r="G27" s="38">
        <f t="shared" si="4"/>
        <v>-58.081724221522549</v>
      </c>
      <c r="H27" s="38">
        <f t="shared" si="4"/>
        <v>-69.840997011733975</v>
      </c>
      <c r="I27" s="38">
        <f t="shared" si="4"/>
        <v>-73.791598701829656</v>
      </c>
      <c r="J27" s="38">
        <f t="shared" si="4"/>
        <v>-67.361297037602824</v>
      </c>
      <c r="K27" s="38">
        <f t="shared" si="4"/>
        <v>-61.693699275038526</v>
      </c>
      <c r="L27" s="38">
        <f t="shared" si="4"/>
        <v>-68.792178611015942</v>
      </c>
      <c r="N27" s="34" t="s">
        <v>161</v>
      </c>
    </row>
    <row r="31" spans="2:14" x14ac:dyDescent="0.3">
      <c r="B31" s="1" t="s">
        <v>162</v>
      </c>
      <c r="C31" s="66" t="s">
        <v>163</v>
      </c>
      <c r="D31" s="66"/>
      <c r="E31" s="66"/>
      <c r="F31" s="66"/>
      <c r="G31" s="66"/>
      <c r="H31" s="66"/>
      <c r="I31" s="66"/>
      <c r="J31" s="66"/>
      <c r="K31" s="66"/>
      <c r="L31" s="66"/>
    </row>
    <row r="32" spans="2:14" x14ac:dyDescent="0.3">
      <c r="C32" s="66"/>
      <c r="D32" s="66"/>
      <c r="E32" s="66"/>
      <c r="F32" s="66"/>
      <c r="G32" s="66"/>
      <c r="H32" s="66"/>
      <c r="I32" s="66"/>
      <c r="J32" s="66"/>
      <c r="K32" s="66"/>
      <c r="L32" s="66"/>
    </row>
    <row r="33" spans="3:12" x14ac:dyDescent="0.3">
      <c r="C33" s="66"/>
      <c r="D33" s="66"/>
      <c r="E33" s="66"/>
      <c r="F33" s="66"/>
      <c r="G33" s="66"/>
      <c r="H33" s="66"/>
      <c r="I33" s="66"/>
      <c r="J33" s="66"/>
      <c r="K33" s="66"/>
      <c r="L33" s="66"/>
    </row>
  </sheetData>
  <mergeCells count="2">
    <mergeCell ref="B2:L2"/>
    <mergeCell ref="C31:L33"/>
  </mergeCells>
  <pageMargins left="0.7" right="0.7" top="0.75" bottom="0.75" header="0.3" footer="0.3"/>
  <extLst>
    <ext xmlns:x14="http://schemas.microsoft.com/office/spreadsheetml/2009/9/main" uri="{05C60535-1F16-4fd2-B633-F4F36F0B64E0}">
      <x14:sparklineGroups xmlns:xm="http://schemas.microsoft.com/office/excel/2006/main">
        <x14:sparklineGroup displayEmptyCellsAs="span" markers="1" xr2:uid="{0540FE98-3230-4A89-8146-C75CCD0E9750}">
          <x14:colorSeries theme="5" tint="-0.249977111117893"/>
          <x14:colorNegative theme="6"/>
          <x14:colorAxis rgb="FF000000"/>
          <x14:colorMarkers theme="6" tint="-0.249977111117893"/>
          <x14:colorFirst theme="6" tint="-0.249977111117893"/>
          <x14:colorLast theme="6" tint="-0.249977111117893"/>
          <x14:colorHigh theme="6" tint="-0.249977111117893"/>
          <x14:colorLow theme="6" tint="-0.249977111117893"/>
          <x14:sparklines>
            <x14:sparkline>
              <xm:f>Ratio_Analysis!D4:L4</xm:f>
              <xm:sqref>M4</xm:sqref>
            </x14:sparkline>
            <x14:sparkline>
              <xm:f>Ratio_Analysis!D5:L5</xm:f>
              <xm:sqref>M5</xm:sqref>
            </x14:sparkline>
            <x14:sparkline>
              <xm:f>Ratio_Analysis!D6:L6</xm:f>
              <xm:sqref>M6</xm:sqref>
            </x14:sparkline>
            <x14:sparkline>
              <xm:f>Ratio_Analysis!D7:L7</xm:f>
              <xm:sqref>M7</xm:sqref>
            </x14:sparkline>
            <x14:sparkline>
              <xm:f>Ratio_Analysis!D8:L8</xm:f>
              <xm:sqref>M8</xm:sqref>
            </x14:sparkline>
            <x14:sparkline>
              <xm:f>Ratio_Analysis!D9:L9</xm:f>
              <xm:sqref>M9</xm:sqref>
            </x14:sparkline>
            <x14:sparkline>
              <xm:f>Ratio_Analysis!D10:L10</xm:f>
              <xm:sqref>M10</xm:sqref>
            </x14:sparkline>
            <x14:sparkline>
              <xm:f>Ratio_Analysis!D11:L11</xm:f>
              <xm:sqref>M11</xm:sqref>
            </x14:sparkline>
            <x14:sparkline>
              <xm:f>Ratio_Analysis!D12:L12</xm:f>
              <xm:sqref>M12</xm:sqref>
            </x14:sparkline>
            <x14:sparkline>
              <xm:f>Ratio_Analysis!D13:L13</xm:f>
              <xm:sqref>M13</xm:sqref>
            </x14:sparkline>
            <x14:sparkline>
              <xm:f>Ratio_Analysis!D14:L14</xm:f>
              <xm:sqref>M14</xm:sqref>
            </x14:sparkline>
            <x14:sparkline>
              <xm:f>Ratio_Analysis!D15:L15</xm:f>
              <xm:sqref>M15</xm:sqref>
            </x14:sparkline>
            <x14:sparkline>
              <xm:f>Ratio_Analysis!D16:L16</xm:f>
              <xm:sqref>M16</xm:sqref>
            </x14:sparkline>
            <x14:sparkline>
              <xm:f>Ratio_Analysis!D17:L17</xm:f>
              <xm:sqref>M17</xm:sqref>
            </x14:sparkline>
            <x14:sparkline>
              <xm:f>Ratio_Analysis!D18:L18</xm:f>
              <xm:sqref>M18</xm:sqref>
            </x14:sparkline>
            <x14:sparkline>
              <xm:f>Ratio_Analysis!D19:L19</xm:f>
              <xm:sqref>M19</xm:sqref>
            </x14:sparkline>
            <x14:sparkline>
              <xm:f>Ratio_Analysis!D20:L20</xm:f>
              <xm:sqref>M20</xm:sqref>
            </x14:sparkline>
            <x14:sparkline>
              <xm:f>Ratio_Analysis!D21:L21</xm:f>
              <xm:sqref>M21</xm:sqref>
            </x14:sparkline>
            <x14:sparkline>
              <xm:f>Ratio_Analysis!D22:L22</xm:f>
              <xm:sqref>M22</xm:sqref>
            </x14:sparkline>
            <x14:sparkline>
              <xm:f>Ratio_Analysis!D23:L23</xm:f>
              <xm:sqref>M23</xm:sqref>
            </x14:sparkline>
            <x14:sparkline>
              <xm:f>Ratio_Analysis!D24:L24</xm:f>
              <xm:sqref>M24</xm:sqref>
            </x14:sparkline>
            <x14:sparkline>
              <xm:f>Ratio_Analysis!D25:L25</xm:f>
              <xm:sqref>M25</xm:sqref>
            </x14:sparkline>
            <x14:sparkline>
              <xm:f>Ratio_Analysis!D26:L26</xm:f>
              <xm:sqref>M26</xm:sqref>
            </x14:sparkline>
            <x14:sparkline>
              <xm:f>Ratio_Analysis!D27:L27</xm:f>
              <xm:sqref>M27</xm:sqref>
            </x14:sparkline>
          </x14:sparklines>
        </x14:sparklineGroup>
      </x14:sparklineGroup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F420B2-2996-4DAC-A8BF-DBB3EF137DED}">
  <dimension ref="B1:J67"/>
  <sheetViews>
    <sheetView showGridLines="0" tabSelected="1" topLeftCell="A44" zoomScale="112" workbookViewId="0">
      <selection activeCell="P18" sqref="P18"/>
    </sheetView>
  </sheetViews>
  <sheetFormatPr defaultRowHeight="14.4" x14ac:dyDescent="0.3"/>
  <cols>
    <col min="1" max="1" width="1.88671875" customWidth="1"/>
    <col min="2" max="2" width="25.77734375" customWidth="1"/>
    <col min="3" max="8" width="15.77734375" customWidth="1"/>
  </cols>
  <sheetData>
    <row r="1" spans="2:10" x14ac:dyDescent="0.3">
      <c r="B1" s="60" t="s">
        <v>166</v>
      </c>
      <c r="C1" s="60"/>
      <c r="D1" s="60"/>
      <c r="E1" s="60"/>
      <c r="F1" s="60"/>
      <c r="G1" s="60"/>
      <c r="H1" s="60"/>
    </row>
    <row r="3" spans="2:10" ht="15" thickBot="1" x14ac:dyDescent="0.35">
      <c r="B3" s="55" t="s">
        <v>173</v>
      </c>
      <c r="C3" s="55"/>
      <c r="D3" s="55" t="str">
        <f>'Historical FS'!N3</f>
        <v>Mar-27F</v>
      </c>
      <c r="E3" s="55" t="str">
        <f>'Historical FS'!O3</f>
        <v>Mar-28F</v>
      </c>
      <c r="F3" s="55" t="str">
        <f>'Historical FS'!P3</f>
        <v>Mar-29F</v>
      </c>
      <c r="G3" s="55" t="str">
        <f>'Historical FS'!Q3</f>
        <v>Mar-30F</v>
      </c>
      <c r="H3" s="55" t="str">
        <f>'Historical FS'!R3</f>
        <v>Mar-31F</v>
      </c>
      <c r="I3" s="46"/>
      <c r="J3" s="46"/>
    </row>
    <row r="4" spans="2:10" ht="15" thickTop="1" x14ac:dyDescent="0.3">
      <c r="B4" t="s">
        <v>138</v>
      </c>
      <c r="D4" s="38">
        <f>'Historical FS'!N24</f>
        <v>44922.095102175044</v>
      </c>
      <c r="E4" s="38">
        <f>'Historical FS'!O24</f>
        <v>46718.978906262048</v>
      </c>
      <c r="F4" s="38">
        <f>'Historical FS'!P24</f>
        <v>49054.927851575158</v>
      </c>
      <c r="G4" s="38">
        <f>'Historical FS'!Q24</f>
        <v>51998.223522669672</v>
      </c>
      <c r="H4" s="38">
        <f>'Historical FS'!R24</f>
        <v>55118.116934029844</v>
      </c>
    </row>
    <row r="5" spans="2:10" x14ac:dyDescent="0.3">
      <c r="B5" t="s">
        <v>167</v>
      </c>
      <c r="D5" s="38">
        <f>D4*$D$19</f>
        <v>13252.018055141638</v>
      </c>
      <c r="E5" s="38">
        <f t="shared" ref="E5:H5" si="0">E4*$D$19</f>
        <v>13782.098777347303</v>
      </c>
      <c r="F5" s="38">
        <f t="shared" si="0"/>
        <v>14471.20371621467</v>
      </c>
      <c r="G5" s="38">
        <f t="shared" si="0"/>
        <v>15339.475939187552</v>
      </c>
      <c r="H5" s="38">
        <f t="shared" si="0"/>
        <v>16259.844495538802</v>
      </c>
    </row>
    <row r="6" spans="2:10" x14ac:dyDescent="0.3">
      <c r="B6" t="s">
        <v>168</v>
      </c>
      <c r="D6" s="38">
        <f>D4-D5</f>
        <v>31670.077047033406</v>
      </c>
      <c r="E6" s="38">
        <f t="shared" ref="E6:H6" si="1">E4-E5</f>
        <v>32936.880128914745</v>
      </c>
      <c r="F6" s="38">
        <f t="shared" si="1"/>
        <v>34583.724135360491</v>
      </c>
      <c r="G6" s="38">
        <f t="shared" si="1"/>
        <v>36658.747583482123</v>
      </c>
      <c r="H6" s="38">
        <f t="shared" si="1"/>
        <v>38858.27243849104</v>
      </c>
    </row>
    <row r="7" spans="2:10" x14ac:dyDescent="0.3">
      <c r="B7" t="s">
        <v>169</v>
      </c>
      <c r="D7" s="38">
        <f>'Historical FS'!N27</f>
        <v>4967.2398378498438</v>
      </c>
      <c r="E7" s="38">
        <f>'Historical FS'!O27</f>
        <v>5165.9294313638375</v>
      </c>
      <c r="F7" s="38">
        <f>'Historical FS'!P27</f>
        <v>5424.2259029320294</v>
      </c>
      <c r="G7" s="38">
        <f>'Historical FS'!Q27</f>
        <v>5749.6794571079517</v>
      </c>
      <c r="H7" s="38">
        <f>'Historical FS'!R27</f>
        <v>6094.6602245344293</v>
      </c>
    </row>
    <row r="8" spans="2:10" x14ac:dyDescent="0.3">
      <c r="B8" t="s">
        <v>170</v>
      </c>
      <c r="D8" s="38">
        <f>'Capex Schedule'!C8</f>
        <v>2746.7437499999996</v>
      </c>
      <c r="E8" s="38">
        <f>'Capex Schedule'!D8</f>
        <v>2856.6134999999995</v>
      </c>
      <c r="F8" s="38">
        <f>'Capex Schedule'!E8</f>
        <v>2999.4441749999996</v>
      </c>
      <c r="G8" s="38">
        <f>'Capex Schedule'!F8</f>
        <v>3179.4108254999996</v>
      </c>
      <c r="H8" s="38">
        <f>'Capex Schedule'!G8</f>
        <v>3370.1754750300001</v>
      </c>
    </row>
    <row r="9" spans="2:10" x14ac:dyDescent="0.3">
      <c r="B9" t="s">
        <v>171</v>
      </c>
      <c r="D9" s="38">
        <f>('Historical FS'!N62-'Historical FS'!N53)-('Historical FS'!L62-'Historical FS'!L53)</f>
        <v>-830.34281678081607</v>
      </c>
      <c r="E9" s="38">
        <f>('Historical FS'!O62-'Historical FS'!O53)-('Historical FS'!N62-'Historical FS'!N53)</f>
        <v>-714.25371267122682</v>
      </c>
      <c r="F9" s="38">
        <f>('Historical FS'!P62-'Historical FS'!P53)-('Historical FS'!O62-'Historical FS'!O53)</f>
        <v>-928.52982647260797</v>
      </c>
      <c r="G9" s="38">
        <f>('Historical FS'!Q62-'Historical FS'!Q53)-('Historical FS'!P62-'Historical FS'!P53)</f>
        <v>-1169.9475813554818</v>
      </c>
      <c r="H9" s="38">
        <f>('Historical FS'!R62-'Historical FS'!R53)-('Historical FS'!Q62-'Historical FS'!Q53)</f>
        <v>-1240.1444362368129</v>
      </c>
    </row>
    <row r="10" spans="2:10" x14ac:dyDescent="0.3">
      <c r="B10" s="49" t="s">
        <v>172</v>
      </c>
      <c r="C10" s="50"/>
      <c r="D10" s="51">
        <f>D6+D7-D8-D9</f>
        <v>34720.915951664065</v>
      </c>
      <c r="E10" s="51">
        <f t="shared" ref="E10:H10" si="2">E6+E7-E8-E9</f>
        <v>35960.449772949811</v>
      </c>
      <c r="F10" s="51">
        <f t="shared" si="2"/>
        <v>37937.035689765129</v>
      </c>
      <c r="G10" s="51">
        <f t="shared" si="2"/>
        <v>40398.963796445554</v>
      </c>
      <c r="H10" s="51">
        <f t="shared" si="2"/>
        <v>42822.901624232276</v>
      </c>
    </row>
    <row r="13" spans="2:10" ht="15" thickBot="1" x14ac:dyDescent="0.35">
      <c r="B13" s="61" t="s">
        <v>184</v>
      </c>
      <c r="C13" s="61"/>
      <c r="D13" s="61"/>
    </row>
    <row r="14" spans="2:10" ht="15" thickTop="1" x14ac:dyDescent="0.3">
      <c r="B14" s="28" t="s">
        <v>174</v>
      </c>
      <c r="D14" s="35">
        <v>6.8500000000000005E-2</v>
      </c>
    </row>
    <row r="15" spans="2:10" x14ac:dyDescent="0.3">
      <c r="B15" s="28" t="s">
        <v>175</v>
      </c>
      <c r="D15" s="47">
        <v>0.7</v>
      </c>
    </row>
    <row r="16" spans="2:10" x14ac:dyDescent="0.3">
      <c r="B16" t="s">
        <v>176</v>
      </c>
      <c r="D16" s="35">
        <v>7.2700000000000001E-2</v>
      </c>
    </row>
    <row r="17" spans="2:8" x14ac:dyDescent="0.3">
      <c r="B17" s="28" t="s">
        <v>177</v>
      </c>
      <c r="D17" s="41">
        <f>D14+D16*D15</f>
        <v>0.11939</v>
      </c>
    </row>
    <row r="18" spans="2:8" x14ac:dyDescent="0.3">
      <c r="B18" t="s">
        <v>178</v>
      </c>
      <c r="D18" s="41">
        <f>'Historical FS'!L21/AVERAGE('Historical FS'!K52:L52)</f>
        <v>4.7807849221398607E-2</v>
      </c>
    </row>
    <row r="19" spans="2:8" x14ac:dyDescent="0.3">
      <c r="B19" t="s">
        <v>179</v>
      </c>
      <c r="D19" s="42">
        <f>'Assumption sheet'!C9</f>
        <v>0.29499999999999998</v>
      </c>
    </row>
    <row r="20" spans="2:8" x14ac:dyDescent="0.3">
      <c r="B20" s="28" t="s">
        <v>180</v>
      </c>
      <c r="D20" s="41">
        <f>D18*(1-D19)</f>
        <v>3.3704533701086024E-2</v>
      </c>
    </row>
    <row r="21" spans="2:8" x14ac:dyDescent="0.3">
      <c r="B21" s="28" t="s">
        <v>199</v>
      </c>
      <c r="D21" s="38">
        <f>'Data Sheet'!K93</f>
        <v>405.56</v>
      </c>
    </row>
    <row r="22" spans="2:8" x14ac:dyDescent="0.3">
      <c r="B22" t="s">
        <v>181</v>
      </c>
      <c r="D22" s="38">
        <v>458560.4</v>
      </c>
    </row>
    <row r="23" spans="2:8" x14ac:dyDescent="0.3">
      <c r="B23" t="s">
        <v>185</v>
      </c>
      <c r="D23" s="38">
        <f>'Historical FS'!L52</f>
        <v>9176</v>
      </c>
    </row>
    <row r="24" spans="2:8" x14ac:dyDescent="0.3">
      <c r="B24" s="28" t="s">
        <v>182</v>
      </c>
      <c r="D24" s="41">
        <f>D22/(D22+D23)</f>
        <v>0.98038211266003672</v>
      </c>
    </row>
    <row r="25" spans="2:8" x14ac:dyDescent="0.3">
      <c r="B25" s="28" t="s">
        <v>183</v>
      </c>
      <c r="D25" s="42">
        <f>1-D24</f>
        <v>1.961788733996328E-2</v>
      </c>
    </row>
    <row r="26" spans="2:8" x14ac:dyDescent="0.3">
      <c r="B26" s="49" t="s">
        <v>184</v>
      </c>
      <c r="C26" s="50"/>
      <c r="D26" s="52">
        <f>D20*D25+D17*D24</f>
        <v>0.11770903217547568</v>
      </c>
    </row>
    <row r="28" spans="2:8" ht="15" thickBot="1" x14ac:dyDescent="0.35">
      <c r="B28" s="56" t="s">
        <v>186</v>
      </c>
      <c r="C28" s="56"/>
      <c r="D28" s="56" t="str">
        <f>D3</f>
        <v>Mar-27F</v>
      </c>
      <c r="E28" s="56" t="str">
        <f t="shared" ref="E28:H28" si="3">E3</f>
        <v>Mar-28F</v>
      </c>
      <c r="F28" s="56" t="str">
        <f t="shared" si="3"/>
        <v>Mar-29F</v>
      </c>
      <c r="G28" s="56" t="str">
        <f>G3</f>
        <v>Mar-30F</v>
      </c>
      <c r="H28" s="56" t="str">
        <f t="shared" si="3"/>
        <v>Mar-31F</v>
      </c>
    </row>
    <row r="29" spans="2:8" ht="15" thickTop="1" x14ac:dyDescent="0.3">
      <c r="B29" t="s">
        <v>187</v>
      </c>
      <c r="D29">
        <v>1</v>
      </c>
      <c r="E29">
        <f>D29+1</f>
        <v>2</v>
      </c>
      <c r="F29">
        <f t="shared" ref="F29:H29" si="4">E29+1</f>
        <v>3</v>
      </c>
      <c r="G29">
        <f t="shared" si="4"/>
        <v>4</v>
      </c>
      <c r="H29">
        <f t="shared" si="4"/>
        <v>5</v>
      </c>
    </row>
    <row r="30" spans="2:8" x14ac:dyDescent="0.3">
      <c r="B30" t="s">
        <v>172</v>
      </c>
      <c r="D30" s="38">
        <f>D10</f>
        <v>34720.915951664065</v>
      </c>
      <c r="E30" s="38">
        <f t="shared" ref="E30:H30" si="5">E10</f>
        <v>35960.449772949811</v>
      </c>
      <c r="F30" s="38">
        <f t="shared" si="5"/>
        <v>37937.035689765129</v>
      </c>
      <c r="G30" s="38">
        <f t="shared" si="5"/>
        <v>40398.963796445554</v>
      </c>
      <c r="H30" s="38">
        <f t="shared" si="5"/>
        <v>42822.901624232276</v>
      </c>
    </row>
    <row r="31" spans="2:8" x14ac:dyDescent="0.3">
      <c r="B31" t="s">
        <v>188</v>
      </c>
      <c r="D31" s="38">
        <f>1/(1+$D$26)^D29</f>
        <v>0.8946872318403204</v>
      </c>
      <c r="E31" s="38">
        <f t="shared" ref="E31:H31" si="6">1/(1+$D$26)^E29</f>
        <v>0.80046524281809528</v>
      </c>
      <c r="F31" s="38">
        <f t="shared" si="6"/>
        <v>0.7161660322813117</v>
      </c>
      <c r="G31" s="38">
        <f t="shared" si="6"/>
        <v>0.64074460495983221</v>
      </c>
      <c r="H31" s="38">
        <f t="shared" si="6"/>
        <v>0.57326601692813206</v>
      </c>
    </row>
    <row r="32" spans="2:8" x14ac:dyDescent="0.3">
      <c r="B32" s="50" t="s">
        <v>189</v>
      </c>
      <c r="C32" s="50"/>
      <c r="D32" s="51">
        <f>D30*D31</f>
        <v>31064.360179754745</v>
      </c>
      <c r="E32" s="51">
        <f t="shared" ref="E32:H32" si="7">E30*E31</f>
        <v>28785.090159352188</v>
      </c>
      <c r="F32" s="51">
        <f t="shared" si="7"/>
        <v>27169.216326453607</v>
      </c>
      <c r="G32" s="51">
        <f t="shared" si="7"/>
        <v>25885.418098540071</v>
      </c>
      <c r="H32" s="51">
        <f t="shared" si="7"/>
        <v>24548.914247428875</v>
      </c>
    </row>
    <row r="34" spans="2:8" ht="15" thickBot="1" x14ac:dyDescent="0.35">
      <c r="B34" s="61" t="s">
        <v>190</v>
      </c>
      <c r="C34" s="61"/>
      <c r="D34" s="61"/>
      <c r="E34" s="61"/>
      <c r="F34" s="61"/>
      <c r="G34" s="61"/>
      <c r="H34" s="61"/>
    </row>
    <row r="35" spans="2:8" ht="15" thickTop="1" x14ac:dyDescent="0.3">
      <c r="B35" t="s">
        <v>191</v>
      </c>
      <c r="C35" s="35">
        <v>3.5000000000000003E-2</v>
      </c>
    </row>
    <row r="36" spans="2:8" x14ac:dyDescent="0.3">
      <c r="B36" t="s">
        <v>192</v>
      </c>
      <c r="C36" s="38">
        <f>H10</f>
        <v>42822.901624232276</v>
      </c>
    </row>
    <row r="37" spans="2:8" x14ac:dyDescent="0.3">
      <c r="B37" t="s">
        <v>193</v>
      </c>
      <c r="C37" s="38">
        <f>H30*(1+C35)/(D26-C35)</f>
        <v>535875.0068196588</v>
      </c>
    </row>
    <row r="38" spans="2:8" x14ac:dyDescent="0.3">
      <c r="B38" t="s">
        <v>194</v>
      </c>
      <c r="C38">
        <f>C37*H31</f>
        <v>307198.93073084141</v>
      </c>
    </row>
    <row r="40" spans="2:8" x14ac:dyDescent="0.3">
      <c r="B40" t="s">
        <v>195</v>
      </c>
      <c r="C40" s="38">
        <f>SUM(D32:H32)+C38</f>
        <v>444651.92974237091</v>
      </c>
    </row>
    <row r="41" spans="2:8" x14ac:dyDescent="0.3">
      <c r="B41" t="s">
        <v>197</v>
      </c>
      <c r="C41" s="38">
        <f>D23</f>
        <v>9176</v>
      </c>
    </row>
    <row r="42" spans="2:8" x14ac:dyDescent="0.3">
      <c r="B42" t="s">
        <v>198</v>
      </c>
      <c r="C42" s="38">
        <f>'Historical FS'!L64</f>
        <v>22201</v>
      </c>
    </row>
    <row r="43" spans="2:8" x14ac:dyDescent="0.3">
      <c r="B43" s="1" t="s">
        <v>196</v>
      </c>
      <c r="C43" s="38">
        <f>C40-C41+C42</f>
        <v>457676.92974237091</v>
      </c>
    </row>
    <row r="45" spans="2:8" x14ac:dyDescent="0.3">
      <c r="B45" t="s">
        <v>200</v>
      </c>
      <c r="C45" s="48">
        <f>C43/D21</f>
        <v>1128.5060897089725</v>
      </c>
    </row>
    <row r="48" spans="2:8" ht="15" thickBot="1" x14ac:dyDescent="0.35">
      <c r="B48" s="61" t="s">
        <v>203</v>
      </c>
      <c r="C48" s="61"/>
      <c r="D48" s="61"/>
      <c r="E48" s="61"/>
      <c r="F48" s="61"/>
      <c r="G48" s="61"/>
      <c r="H48" s="61"/>
    </row>
    <row r="49" spans="2:8" ht="15" thickTop="1" x14ac:dyDescent="0.3"/>
    <row r="50" spans="2:8" x14ac:dyDescent="0.3">
      <c r="D50" s="63" t="s">
        <v>202</v>
      </c>
      <c r="E50" s="63"/>
      <c r="F50" s="63"/>
      <c r="G50" s="63"/>
      <c r="H50" s="63"/>
    </row>
    <row r="51" spans="2:8" x14ac:dyDescent="0.3">
      <c r="B51" s="1" t="s">
        <v>201</v>
      </c>
      <c r="C51" s="48">
        <f>C45</f>
        <v>1128.5060897089725</v>
      </c>
      <c r="D51" s="42">
        <v>0.1</v>
      </c>
      <c r="E51" s="42">
        <v>0.11</v>
      </c>
      <c r="F51" s="42">
        <v>0.11770903217547568</v>
      </c>
      <c r="G51" s="42">
        <v>0.12</v>
      </c>
      <c r="H51" s="42">
        <v>0.13</v>
      </c>
    </row>
    <row r="52" spans="2:8" x14ac:dyDescent="0.3">
      <c r="B52" s="64" t="s">
        <v>210</v>
      </c>
      <c r="C52" s="42">
        <v>2.5000000000000001E-2</v>
      </c>
      <c r="D52" s="38">
        <f t="dataTable" ref="D52:H56" dt2D="1" dtr="1" r1="D26" r2="C35"/>
        <v>1283.1297828306062</v>
      </c>
      <c r="E52" s="38">
        <v>1133.5205565017402</v>
      </c>
      <c r="F52" s="38">
        <v>1040.273109458198</v>
      </c>
      <c r="G52" s="38">
        <v>1015.4877092541451</v>
      </c>
      <c r="H52" s="38">
        <v>920.00606106874307</v>
      </c>
    </row>
    <row r="53" spans="2:8" x14ac:dyDescent="0.3">
      <c r="B53" s="64"/>
      <c r="C53" s="42">
        <v>0.03</v>
      </c>
      <c r="D53" s="38">
        <v>1351.8146301366837</v>
      </c>
      <c r="E53" s="38">
        <v>1184.6640220777447</v>
      </c>
      <c r="F53" s="38">
        <v>1081.874665315634</v>
      </c>
      <c r="G53" s="38">
        <v>1054.7298576486994</v>
      </c>
      <c r="H53" s="38">
        <v>950.84418206747193</v>
      </c>
    </row>
    <row r="54" spans="2:8" x14ac:dyDescent="0.3">
      <c r="B54" s="64"/>
      <c r="C54" s="42">
        <v>3.5000000000000003E-2</v>
      </c>
      <c r="D54" s="38">
        <v>1431.0663770283115</v>
      </c>
      <c r="E54" s="38">
        <v>1242.6266163972166</v>
      </c>
      <c r="F54" s="48">
        <v>1128.5060897089725</v>
      </c>
      <c r="G54" s="38">
        <v>1098.5887293837893</v>
      </c>
      <c r="H54" s="38">
        <v>984.92842106606679</v>
      </c>
    </row>
    <row r="55" spans="2:8" x14ac:dyDescent="0.3">
      <c r="B55" s="64"/>
      <c r="C55" s="42">
        <v>0.04</v>
      </c>
      <c r="D55" s="38">
        <v>1523.5267484018771</v>
      </c>
      <c r="E55" s="38">
        <v>1308.8695813337561</v>
      </c>
      <c r="F55" s="38">
        <v>1181.1382868680867</v>
      </c>
      <c r="G55" s="38">
        <v>1147.929960085766</v>
      </c>
      <c r="H55" s="38">
        <v>1022.7997977311722</v>
      </c>
    </row>
    <row r="56" spans="2:8" x14ac:dyDescent="0.3">
      <c r="B56" s="64"/>
      <c r="C56" s="42">
        <v>4.4999999999999998E-2</v>
      </c>
      <c r="D56" s="38">
        <v>1632.7980963888181</v>
      </c>
      <c r="E56" s="38">
        <v>1385.3037716451474</v>
      </c>
      <c r="F56" s="38">
        <v>1241.0092266681552</v>
      </c>
      <c r="G56" s="38">
        <v>1203.8500215480058</v>
      </c>
      <c r="H56" s="38">
        <v>1065.1266304745254</v>
      </c>
    </row>
    <row r="59" spans="2:8" ht="15" thickBot="1" x14ac:dyDescent="0.35">
      <c r="B59" s="61" t="s">
        <v>204</v>
      </c>
      <c r="C59" s="61"/>
      <c r="D59" s="61"/>
      <c r="E59" s="61"/>
      <c r="F59" s="61"/>
      <c r="G59" s="61"/>
      <c r="H59" s="61"/>
    </row>
    <row r="60" spans="2:8" ht="15" thickTop="1" x14ac:dyDescent="0.3">
      <c r="B60" s="53" t="s">
        <v>206</v>
      </c>
      <c r="C60" s="48">
        <f>C45</f>
        <v>1128.5060897089725</v>
      </c>
    </row>
    <row r="61" spans="2:8" x14ac:dyDescent="0.3">
      <c r="B61" t="s">
        <v>205</v>
      </c>
      <c r="C61">
        <v>1121</v>
      </c>
    </row>
    <row r="62" spans="2:8" x14ac:dyDescent="0.3">
      <c r="B62" s="1" t="s">
        <v>208</v>
      </c>
      <c r="C62" s="54">
        <f>C60/C61-1</f>
        <v>6.6958873407425568E-3</v>
      </c>
    </row>
    <row r="63" spans="2:8" x14ac:dyDescent="0.3">
      <c r="B63" s="1" t="s">
        <v>162</v>
      </c>
      <c r="C63" s="62" t="s">
        <v>209</v>
      </c>
      <c r="D63" s="62"/>
      <c r="E63" s="62"/>
      <c r="F63" s="62"/>
      <c r="G63" s="62"/>
      <c r="H63" s="62"/>
    </row>
    <row r="64" spans="2:8" x14ac:dyDescent="0.3">
      <c r="C64" s="62"/>
      <c r="D64" s="62"/>
      <c r="E64" s="62"/>
      <c r="F64" s="62"/>
      <c r="G64" s="62"/>
      <c r="H64" s="62"/>
    </row>
    <row r="65" spans="2:8" x14ac:dyDescent="0.3">
      <c r="C65" s="62"/>
      <c r="D65" s="62"/>
      <c r="E65" s="62"/>
      <c r="F65" s="62"/>
      <c r="G65" s="62"/>
      <c r="H65" s="62"/>
    </row>
    <row r="66" spans="2:8" x14ac:dyDescent="0.3">
      <c r="C66" s="62"/>
      <c r="D66" s="62"/>
      <c r="E66" s="62"/>
      <c r="F66" s="62"/>
      <c r="G66" s="62"/>
      <c r="H66" s="62"/>
    </row>
    <row r="67" spans="2:8" x14ac:dyDescent="0.3">
      <c r="B67" s="1" t="s">
        <v>211</v>
      </c>
      <c r="C67" s="57" t="s">
        <v>212</v>
      </c>
    </row>
  </sheetData>
  <mergeCells count="8">
    <mergeCell ref="B1:H1"/>
    <mergeCell ref="B34:H34"/>
    <mergeCell ref="B59:H59"/>
    <mergeCell ref="C63:H66"/>
    <mergeCell ref="B13:D13"/>
    <mergeCell ref="D50:H50"/>
    <mergeCell ref="B52:B56"/>
    <mergeCell ref="B48:H48"/>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6BE43-23AB-42EA-A06D-1097D3CF4336}">
  <dimension ref="A1:H28"/>
  <sheetViews>
    <sheetView showGridLines="0" topLeftCell="A5" workbookViewId="0">
      <selection activeCell="P8" sqref="P8"/>
    </sheetView>
  </sheetViews>
  <sheetFormatPr defaultRowHeight="14.4" x14ac:dyDescent="0.3"/>
  <cols>
    <col min="1" max="1" width="23.88671875" customWidth="1"/>
    <col min="2" max="2" width="10.44140625" bestFit="1" customWidth="1"/>
  </cols>
  <sheetData>
    <row r="1" spans="1:8" x14ac:dyDescent="0.3">
      <c r="A1" s="63" t="s">
        <v>213</v>
      </c>
      <c r="B1" s="63"/>
      <c r="C1" s="63"/>
      <c r="D1" s="63"/>
      <c r="E1" s="63"/>
      <c r="F1" s="63"/>
      <c r="G1" s="63"/>
      <c r="H1" s="63"/>
    </row>
    <row r="2" spans="1:8" x14ac:dyDescent="0.3">
      <c r="A2" s="63"/>
      <c r="B2" s="63"/>
      <c r="C2" s="63"/>
      <c r="D2" s="63"/>
      <c r="E2" s="63"/>
      <c r="F2" s="63"/>
      <c r="G2" s="63"/>
      <c r="H2" s="63"/>
    </row>
    <row r="4" spans="1:8" x14ac:dyDescent="0.3">
      <c r="A4" s="25" t="s">
        <v>214</v>
      </c>
      <c r="B4" s="27" t="s">
        <v>215</v>
      </c>
    </row>
    <row r="5" spans="1:8" x14ac:dyDescent="0.3">
      <c r="A5" s="28" t="s">
        <v>205</v>
      </c>
      <c r="B5" s="58">
        <f>DCF_valuation!C61</f>
        <v>1121</v>
      </c>
    </row>
    <row r="6" spans="1:8" x14ac:dyDescent="0.3">
      <c r="A6" s="28" t="s">
        <v>216</v>
      </c>
      <c r="B6" s="59">
        <f>DCF_valuation!C60</f>
        <v>1128.5060897089725</v>
      </c>
    </row>
    <row r="7" spans="1:8" x14ac:dyDescent="0.3">
      <c r="A7" s="28" t="s">
        <v>207</v>
      </c>
      <c r="B7" s="29">
        <f>DCF_valuation!C62</f>
        <v>6.6958873407425568E-3</v>
      </c>
    </row>
    <row r="8" spans="1:8" x14ac:dyDescent="0.3">
      <c r="A8" s="28" t="s">
        <v>184</v>
      </c>
      <c r="B8" s="29">
        <f>DCF_valuation!D26</f>
        <v>0.11770903217547568</v>
      </c>
    </row>
    <row r="9" spans="1:8" x14ac:dyDescent="0.3">
      <c r="A9" s="28" t="s">
        <v>191</v>
      </c>
      <c r="B9" s="29">
        <f>DCF_valuation!C35</f>
        <v>3.5000000000000003E-2</v>
      </c>
    </row>
    <row r="10" spans="1:8" x14ac:dyDescent="0.3">
      <c r="A10" s="28" t="s">
        <v>217</v>
      </c>
      <c r="B10" s="26" t="str">
        <f>DCF_valuation!C67</f>
        <v>HOLD</v>
      </c>
    </row>
    <row r="12" spans="1:8" x14ac:dyDescent="0.3">
      <c r="A12" s="63" t="s">
        <v>218</v>
      </c>
      <c r="B12" s="63"/>
      <c r="C12" s="63"/>
      <c r="D12" s="63"/>
      <c r="E12" s="63"/>
      <c r="F12" s="63"/>
      <c r="G12" s="63"/>
      <c r="H12" s="63"/>
    </row>
    <row r="13" spans="1:8" x14ac:dyDescent="0.3">
      <c r="A13" t="s">
        <v>219</v>
      </c>
      <c r="B13" s="42">
        <f>Ratio_Analysis!L4</f>
        <v>9.6079514080618544E-2</v>
      </c>
    </row>
    <row r="14" spans="1:8" x14ac:dyDescent="0.3">
      <c r="A14" t="s">
        <v>128</v>
      </c>
      <c r="B14" s="42">
        <f>Ratio_Analysis!L11</f>
        <v>0.23666386789812482</v>
      </c>
    </row>
    <row r="15" spans="1:8" x14ac:dyDescent="0.3">
      <c r="A15" t="s">
        <v>131</v>
      </c>
      <c r="B15" s="42">
        <f>Ratio_Analysis!L14</f>
        <v>0.14800447802966696</v>
      </c>
    </row>
    <row r="16" spans="1:8" x14ac:dyDescent="0.3">
      <c r="A16" t="s">
        <v>220</v>
      </c>
      <c r="B16" s="42">
        <f>Ratio_Analysis!L16</f>
        <v>0.41031873603324576</v>
      </c>
    </row>
    <row r="18" spans="1:8" x14ac:dyDescent="0.3">
      <c r="A18" s="63" t="s">
        <v>221</v>
      </c>
      <c r="B18" s="63"/>
      <c r="C18" s="63"/>
      <c r="D18" s="63"/>
      <c r="E18" s="63"/>
      <c r="F18" s="63"/>
      <c r="G18" s="63"/>
      <c r="H18" s="63"/>
    </row>
    <row r="19" spans="1:8" x14ac:dyDescent="0.3">
      <c r="A19" t="s">
        <v>222</v>
      </c>
      <c r="B19" s="58">
        <f>DCF_valuation!C40</f>
        <v>444651.92974237091</v>
      </c>
    </row>
    <row r="20" spans="1:8" x14ac:dyDescent="0.3">
      <c r="A20" t="s">
        <v>196</v>
      </c>
      <c r="B20" s="58">
        <f>DCF_valuation!C43</f>
        <v>457676.92974237091</v>
      </c>
    </row>
    <row r="21" spans="1:8" x14ac:dyDescent="0.3">
      <c r="A21" t="s">
        <v>223</v>
      </c>
      <c r="B21" s="58">
        <f>DCF_valuation!C45</f>
        <v>1128.5060897089725</v>
      </c>
    </row>
    <row r="23" spans="1:8" x14ac:dyDescent="0.3">
      <c r="A23" t="s">
        <v>224</v>
      </c>
      <c r="B23" s="67" t="s">
        <v>225</v>
      </c>
      <c r="C23" s="67"/>
      <c r="D23" s="67"/>
      <c r="E23" s="67"/>
      <c r="F23" s="67"/>
      <c r="G23" s="67"/>
      <c r="H23" s="67"/>
    </row>
    <row r="24" spans="1:8" x14ac:dyDescent="0.3">
      <c r="B24" s="67"/>
      <c r="C24" s="67"/>
      <c r="D24" s="67"/>
      <c r="E24" s="67"/>
      <c r="F24" s="67"/>
      <c r="G24" s="67"/>
      <c r="H24" s="67"/>
    </row>
    <row r="25" spans="1:8" x14ac:dyDescent="0.3">
      <c r="B25" s="67"/>
      <c r="C25" s="67"/>
      <c r="D25" s="67"/>
      <c r="E25" s="67"/>
      <c r="F25" s="67"/>
      <c r="G25" s="67"/>
      <c r="H25" s="67"/>
    </row>
    <row r="26" spans="1:8" x14ac:dyDescent="0.3">
      <c r="B26" s="67"/>
      <c r="C26" s="67"/>
      <c r="D26" s="67"/>
      <c r="E26" s="67"/>
      <c r="F26" s="67"/>
      <c r="G26" s="67"/>
      <c r="H26" s="67"/>
    </row>
    <row r="27" spans="1:8" x14ac:dyDescent="0.3">
      <c r="B27" s="67"/>
      <c r="C27" s="67"/>
      <c r="D27" s="67"/>
      <c r="E27" s="67"/>
      <c r="F27" s="67"/>
      <c r="G27" s="67"/>
      <c r="H27" s="67"/>
    </row>
    <row r="28" spans="1:8" x14ac:dyDescent="0.3">
      <c r="B28" s="67"/>
      <c r="C28" s="67"/>
      <c r="D28" s="67"/>
      <c r="E28" s="67"/>
      <c r="F28" s="67"/>
      <c r="G28" s="67"/>
      <c r="H28" s="67"/>
    </row>
  </sheetData>
  <mergeCells count="4">
    <mergeCell ref="A12:H12"/>
    <mergeCell ref="A18:H18"/>
    <mergeCell ref="A1:H2"/>
    <mergeCell ref="B23:H2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5B07FB-3D7E-48EA-99D8-1D84741D916A}">
  <dimension ref="B1:N32"/>
  <sheetViews>
    <sheetView showGridLines="0" zoomScale="91" workbookViewId="0">
      <selection activeCell="I37" sqref="I37"/>
    </sheetView>
  </sheetViews>
  <sheetFormatPr defaultRowHeight="14.4" x14ac:dyDescent="0.3"/>
  <cols>
    <col min="1" max="1" width="1.88671875" customWidth="1"/>
  </cols>
  <sheetData>
    <row r="1" spans="2:14" x14ac:dyDescent="0.3">
      <c r="B1" s="68" t="s">
        <v>226</v>
      </c>
      <c r="C1" s="68"/>
      <c r="D1" s="68"/>
      <c r="E1" s="68"/>
      <c r="F1" s="68"/>
      <c r="G1" s="68"/>
      <c r="H1" s="68"/>
      <c r="I1" s="68"/>
      <c r="J1" s="68"/>
      <c r="K1" s="68"/>
      <c r="L1" s="68"/>
      <c r="M1" s="68"/>
      <c r="N1" s="68"/>
    </row>
    <row r="2" spans="2:14" x14ac:dyDescent="0.3">
      <c r="B2" s="68"/>
      <c r="C2" s="68"/>
      <c r="D2" s="68"/>
      <c r="E2" s="68"/>
      <c r="F2" s="68"/>
      <c r="G2" s="68"/>
      <c r="H2" s="68"/>
      <c r="I2" s="68"/>
      <c r="J2" s="68"/>
      <c r="K2" s="68"/>
      <c r="L2" s="68"/>
      <c r="M2" s="68"/>
      <c r="N2" s="68"/>
    </row>
    <row r="3" spans="2:14" x14ac:dyDescent="0.3">
      <c r="B3" s="68"/>
      <c r="C3" s="68"/>
      <c r="D3" s="68"/>
      <c r="E3" s="68"/>
      <c r="F3" s="68"/>
      <c r="G3" s="68"/>
      <c r="H3" s="68"/>
      <c r="I3" s="68"/>
      <c r="J3" s="68"/>
      <c r="K3" s="68"/>
      <c r="L3" s="68"/>
      <c r="M3" s="68"/>
      <c r="N3" s="68"/>
    </row>
    <row r="30" spans="2:14" x14ac:dyDescent="0.3">
      <c r="B30" s="68"/>
      <c r="C30" s="68"/>
      <c r="D30" s="68"/>
      <c r="E30" s="68"/>
      <c r="F30" s="68"/>
      <c r="G30" s="68"/>
      <c r="H30" s="68"/>
      <c r="I30" s="68"/>
      <c r="J30" s="68"/>
      <c r="K30" s="68"/>
      <c r="L30" s="68"/>
      <c r="M30" s="68"/>
      <c r="N30" s="68"/>
    </row>
    <row r="31" spans="2:14" x14ac:dyDescent="0.3">
      <c r="B31" s="68"/>
      <c r="C31" s="68"/>
      <c r="D31" s="68"/>
      <c r="E31" s="68"/>
      <c r="F31" s="68"/>
      <c r="G31" s="68"/>
      <c r="H31" s="68"/>
      <c r="I31" s="68"/>
      <c r="J31" s="68"/>
      <c r="K31" s="68"/>
      <c r="L31" s="68"/>
      <c r="M31" s="68"/>
      <c r="N31" s="68"/>
    </row>
    <row r="32" spans="2:14" x14ac:dyDescent="0.3">
      <c r="B32" s="68"/>
      <c r="C32" s="68"/>
      <c r="D32" s="68"/>
      <c r="E32" s="68"/>
      <c r="F32" s="68"/>
      <c r="G32" s="68"/>
      <c r="H32" s="68"/>
      <c r="I32" s="68"/>
      <c r="J32" s="68"/>
      <c r="K32" s="68"/>
      <c r="L32" s="68"/>
      <c r="M32" s="68"/>
      <c r="N32" s="68"/>
    </row>
  </sheetData>
  <mergeCells count="2">
    <mergeCell ref="B30:N32"/>
    <mergeCell ref="B1:N3"/>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5BAA0-26BB-4E31-871C-77840D5C102F}">
  <dimension ref="A1:K93"/>
  <sheetViews>
    <sheetView zoomScale="120" zoomScaleNormal="120" zoomScalePageLayoutView="120" workbookViewId="0">
      <pane xSplit="1" ySplit="1" topLeftCell="B81" activePane="bottomRight" state="frozen"/>
      <selection activeCell="C4" sqref="C4"/>
      <selection pane="topRight" activeCell="C4" sqref="C4"/>
      <selection pane="bottomLeft" activeCell="C4" sqref="C4"/>
      <selection pane="bottomRight" activeCell="C97" sqref="C97"/>
    </sheetView>
  </sheetViews>
  <sheetFormatPr defaultColWidth="8.77734375" defaultRowHeight="14.4" x14ac:dyDescent="0.3"/>
  <cols>
    <col min="1" max="1" width="27.6640625" style="2" bestFit="1" customWidth="1"/>
    <col min="2" max="11" width="13.44140625" style="2" bestFit="1" customWidth="1"/>
    <col min="12" max="16384" width="8.77734375" style="2"/>
  </cols>
  <sheetData>
    <row r="1" spans="1:11" s="4" customFormat="1" x14ac:dyDescent="0.3">
      <c r="A1" s="4" t="s">
        <v>62</v>
      </c>
      <c r="B1" s="4" t="s">
        <v>61</v>
      </c>
      <c r="E1" s="69" t="str">
        <f>IF(B2&lt;&gt;B3, "A NEW VERSION OF THE WORKSHEET IS AVAILABLE", "")</f>
        <v/>
      </c>
      <c r="F1" s="69"/>
      <c r="G1" s="69"/>
      <c r="H1" s="69"/>
      <c r="I1" s="69"/>
      <c r="J1" s="69"/>
      <c r="K1" s="69"/>
    </row>
    <row r="2" spans="1:11" x14ac:dyDescent="0.3">
      <c r="A2" s="4" t="s">
        <v>60</v>
      </c>
      <c r="B2" s="2">
        <v>2.1</v>
      </c>
      <c r="E2" s="70" t="s">
        <v>59</v>
      </c>
      <c r="F2" s="70"/>
      <c r="G2" s="70"/>
      <c r="H2" s="70"/>
      <c r="I2" s="70"/>
      <c r="J2" s="70"/>
      <c r="K2" s="70"/>
    </row>
    <row r="3" spans="1:11" x14ac:dyDescent="0.3">
      <c r="A3" s="4" t="s">
        <v>58</v>
      </c>
      <c r="B3" s="2">
        <v>2.1</v>
      </c>
    </row>
    <row r="4" spans="1:11" x14ac:dyDescent="0.3">
      <c r="A4" s="4"/>
    </row>
    <row r="5" spans="1:11" x14ac:dyDescent="0.3">
      <c r="A5" s="4" t="s">
        <v>57</v>
      </c>
    </row>
    <row r="6" spans="1:11" x14ac:dyDescent="0.3">
      <c r="A6" s="2" t="s">
        <v>56</v>
      </c>
      <c r="B6" s="2">
        <f>IF(B9&gt;0, B9/B8, 0)</f>
        <v>405.9092</v>
      </c>
    </row>
    <row r="7" spans="1:11" x14ac:dyDescent="0.3">
      <c r="A7" s="2" t="s">
        <v>55</v>
      </c>
      <c r="B7">
        <v>5</v>
      </c>
    </row>
    <row r="8" spans="1:11" x14ac:dyDescent="0.3">
      <c r="A8" s="2" t="s">
        <v>54</v>
      </c>
      <c r="B8">
        <v>1175</v>
      </c>
    </row>
    <row r="9" spans="1:11" x14ac:dyDescent="0.3">
      <c r="A9" s="2" t="s">
        <v>53</v>
      </c>
      <c r="B9">
        <v>476943.31</v>
      </c>
    </row>
    <row r="15" spans="1:11" x14ac:dyDescent="0.3">
      <c r="A15" s="4" t="s">
        <v>52</v>
      </c>
    </row>
    <row r="16" spans="1:11" s="6" customFormat="1" x14ac:dyDescent="0.3">
      <c r="A16" s="8" t="s">
        <v>18</v>
      </c>
      <c r="B16" s="7">
        <v>42825</v>
      </c>
      <c r="C16" s="7">
        <v>43190</v>
      </c>
      <c r="D16" s="7">
        <v>43555</v>
      </c>
      <c r="E16" s="7">
        <v>43921</v>
      </c>
      <c r="F16" s="7">
        <v>44286</v>
      </c>
      <c r="G16" s="7">
        <v>44651</v>
      </c>
      <c r="H16" s="7">
        <v>45016</v>
      </c>
      <c r="I16" s="7">
        <v>45382</v>
      </c>
      <c r="J16" s="7">
        <v>45747</v>
      </c>
      <c r="K16" s="7">
        <v>46112</v>
      </c>
    </row>
    <row r="17" spans="1:11" s="5" customFormat="1" x14ac:dyDescent="0.3">
      <c r="A17" s="5" t="s">
        <v>42</v>
      </c>
      <c r="B17">
        <v>68484</v>
      </c>
      <c r="C17">
        <v>70522</v>
      </c>
      <c r="D17">
        <v>82675</v>
      </c>
      <c r="E17">
        <v>90791</v>
      </c>
      <c r="F17">
        <v>100472</v>
      </c>
      <c r="G17">
        <v>121641</v>
      </c>
      <c r="H17">
        <v>146767</v>
      </c>
      <c r="I17">
        <v>153670</v>
      </c>
      <c r="J17">
        <v>162990</v>
      </c>
      <c r="K17">
        <v>178650</v>
      </c>
    </row>
    <row r="18" spans="1:11" s="5" customFormat="1" x14ac:dyDescent="0.3">
      <c r="A18" s="2" t="s">
        <v>51</v>
      </c>
      <c r="B18"/>
      <c r="C18"/>
      <c r="D18"/>
      <c r="E18"/>
      <c r="F18"/>
      <c r="G18"/>
      <c r="H18"/>
      <c r="I18"/>
      <c r="J18"/>
      <c r="K18"/>
    </row>
    <row r="19" spans="1:11" s="5" customFormat="1" x14ac:dyDescent="0.3">
      <c r="A19" s="2" t="s">
        <v>50</v>
      </c>
      <c r="B19"/>
      <c r="C19"/>
      <c r="D19"/>
      <c r="E19"/>
      <c r="F19"/>
      <c r="G19"/>
      <c r="H19"/>
      <c r="I19"/>
      <c r="J19"/>
      <c r="K19"/>
    </row>
    <row r="20" spans="1:11" s="5" customFormat="1" x14ac:dyDescent="0.3">
      <c r="A20" s="2" t="s">
        <v>49</v>
      </c>
      <c r="B20">
        <v>228</v>
      </c>
      <c r="C20">
        <v>207</v>
      </c>
      <c r="D20">
        <v>221</v>
      </c>
      <c r="E20">
        <v>229</v>
      </c>
      <c r="F20">
        <v>143</v>
      </c>
      <c r="G20">
        <v>132</v>
      </c>
      <c r="H20">
        <v>176</v>
      </c>
      <c r="I20">
        <v>199</v>
      </c>
      <c r="J20">
        <v>222</v>
      </c>
      <c r="K20">
        <v>223</v>
      </c>
    </row>
    <row r="21" spans="1:11" s="5" customFormat="1" x14ac:dyDescent="0.3">
      <c r="A21" s="2" t="s">
        <v>48</v>
      </c>
      <c r="B21">
        <v>6712</v>
      </c>
      <c r="C21">
        <v>7286</v>
      </c>
      <c r="D21">
        <v>9902</v>
      </c>
      <c r="E21">
        <v>11086</v>
      </c>
      <c r="F21">
        <v>12800</v>
      </c>
      <c r="G21">
        <v>20690</v>
      </c>
      <c r="H21">
        <v>26330</v>
      </c>
      <c r="I21">
        <v>27195</v>
      </c>
      <c r="J21">
        <v>30395</v>
      </c>
      <c r="K21">
        <v>32922</v>
      </c>
    </row>
    <row r="22" spans="1:11" s="5" customFormat="1" x14ac:dyDescent="0.3">
      <c r="A22" s="2" t="s">
        <v>47</v>
      </c>
      <c r="B22">
        <v>37669</v>
      </c>
      <c r="C22">
        <v>38902</v>
      </c>
      <c r="D22">
        <v>45323</v>
      </c>
      <c r="E22">
        <v>50895</v>
      </c>
      <c r="F22">
        <v>55547</v>
      </c>
      <c r="G22">
        <v>63997</v>
      </c>
      <c r="H22">
        <v>78374</v>
      </c>
      <c r="I22">
        <v>82636</v>
      </c>
      <c r="J22">
        <v>85968</v>
      </c>
      <c r="K22">
        <v>95112</v>
      </c>
    </row>
    <row r="23" spans="1:11" s="5" customFormat="1" x14ac:dyDescent="0.3">
      <c r="A23" s="2" t="s">
        <v>46</v>
      </c>
      <c r="B23">
        <v>4584</v>
      </c>
      <c r="C23">
        <v>4585</v>
      </c>
      <c r="D23">
        <v>5553</v>
      </c>
      <c r="E23">
        <v>5375</v>
      </c>
      <c r="F23">
        <v>3194</v>
      </c>
      <c r="G23">
        <v>4305</v>
      </c>
      <c r="H23">
        <v>5300</v>
      </c>
      <c r="I23">
        <v>5705</v>
      </c>
      <c r="J23">
        <v>6039</v>
      </c>
      <c r="K23">
        <v>6784</v>
      </c>
    </row>
    <row r="24" spans="1:11" s="5" customFormat="1" x14ac:dyDescent="0.3">
      <c r="A24" s="2" t="s">
        <v>45</v>
      </c>
      <c r="B24">
        <v>687</v>
      </c>
      <c r="C24">
        <v>720</v>
      </c>
      <c r="D24">
        <v>1506</v>
      </c>
      <c r="E24">
        <v>939</v>
      </c>
      <c r="F24">
        <v>899</v>
      </c>
      <c r="G24">
        <v>1026</v>
      </c>
      <c r="H24">
        <v>1457</v>
      </c>
      <c r="I24">
        <v>1510</v>
      </c>
      <c r="J24">
        <v>1130</v>
      </c>
      <c r="K24">
        <v>1329</v>
      </c>
    </row>
    <row r="25" spans="1:11" s="5" customFormat="1" x14ac:dyDescent="0.3">
      <c r="A25" s="5" t="s">
        <v>40</v>
      </c>
      <c r="B25">
        <v>3050</v>
      </c>
      <c r="C25">
        <v>3311</v>
      </c>
      <c r="D25">
        <v>2882</v>
      </c>
      <c r="E25">
        <v>2803</v>
      </c>
      <c r="F25">
        <v>2201</v>
      </c>
      <c r="G25">
        <v>2295</v>
      </c>
      <c r="H25">
        <v>2701</v>
      </c>
      <c r="I25">
        <v>4711</v>
      </c>
      <c r="J25">
        <v>3600</v>
      </c>
      <c r="K25">
        <v>3033</v>
      </c>
    </row>
    <row r="26" spans="1:11" s="5" customFormat="1" x14ac:dyDescent="0.3">
      <c r="A26" s="5" t="s">
        <v>39</v>
      </c>
      <c r="B26">
        <v>1703</v>
      </c>
      <c r="C26">
        <v>1863</v>
      </c>
      <c r="D26">
        <v>2011</v>
      </c>
      <c r="E26">
        <v>2893</v>
      </c>
      <c r="F26">
        <v>3267</v>
      </c>
      <c r="G26">
        <v>3476</v>
      </c>
      <c r="H26">
        <v>4225</v>
      </c>
      <c r="I26">
        <v>4678</v>
      </c>
      <c r="J26">
        <v>4812</v>
      </c>
      <c r="K26">
        <v>4902</v>
      </c>
    </row>
    <row r="27" spans="1:11" s="5" customFormat="1" x14ac:dyDescent="0.3">
      <c r="A27" s="5" t="s">
        <v>4</v>
      </c>
      <c r="B27"/>
      <c r="C27"/>
      <c r="D27"/>
      <c r="E27">
        <v>170</v>
      </c>
      <c r="F27">
        <v>195</v>
      </c>
      <c r="G27">
        <v>200</v>
      </c>
      <c r="H27">
        <v>284</v>
      </c>
      <c r="I27">
        <v>470</v>
      </c>
      <c r="J27">
        <v>416</v>
      </c>
      <c r="K27">
        <v>416</v>
      </c>
    </row>
    <row r="28" spans="1:11" s="5" customFormat="1" x14ac:dyDescent="0.3">
      <c r="A28" s="5" t="s">
        <v>38</v>
      </c>
      <c r="B28">
        <v>19951</v>
      </c>
      <c r="C28">
        <v>20270</v>
      </c>
      <c r="D28">
        <v>21041</v>
      </c>
      <c r="E28">
        <v>22007</v>
      </c>
      <c r="F28">
        <v>26628</v>
      </c>
      <c r="G28">
        <v>30110</v>
      </c>
      <c r="H28">
        <v>33322</v>
      </c>
      <c r="I28">
        <v>35988</v>
      </c>
      <c r="J28">
        <v>37608</v>
      </c>
      <c r="K28">
        <v>39995</v>
      </c>
    </row>
    <row r="29" spans="1:11" s="5" customFormat="1" x14ac:dyDescent="0.3">
      <c r="A29" s="5" t="s">
        <v>37</v>
      </c>
      <c r="B29">
        <v>5598</v>
      </c>
      <c r="C29">
        <v>4241</v>
      </c>
      <c r="D29">
        <v>5631</v>
      </c>
      <c r="E29">
        <v>5368</v>
      </c>
      <c r="F29">
        <v>7205</v>
      </c>
      <c r="G29">
        <v>7964</v>
      </c>
      <c r="H29">
        <v>9214</v>
      </c>
      <c r="I29">
        <v>9740</v>
      </c>
      <c r="J29">
        <v>10858</v>
      </c>
      <c r="K29">
        <v>10521</v>
      </c>
    </row>
    <row r="30" spans="1:11" s="5" customFormat="1" x14ac:dyDescent="0.3">
      <c r="A30" s="5" t="s">
        <v>36</v>
      </c>
      <c r="B30">
        <v>14353</v>
      </c>
      <c r="C30">
        <v>16029</v>
      </c>
      <c r="D30">
        <v>15404</v>
      </c>
      <c r="E30">
        <v>16594</v>
      </c>
      <c r="F30">
        <v>19351</v>
      </c>
      <c r="G30">
        <v>22110</v>
      </c>
      <c r="H30">
        <v>24095</v>
      </c>
      <c r="I30">
        <v>26233</v>
      </c>
      <c r="J30">
        <v>26713</v>
      </c>
      <c r="K30">
        <v>29440</v>
      </c>
    </row>
    <row r="31" spans="1:11" s="5" customFormat="1" x14ac:dyDescent="0.3">
      <c r="A31" s="5" t="s">
        <v>44</v>
      </c>
      <c r="B31">
        <v>5891.6</v>
      </c>
      <c r="C31">
        <v>9465.6</v>
      </c>
      <c r="D31">
        <v>9222.5</v>
      </c>
      <c r="E31">
        <v>7427</v>
      </c>
      <c r="F31">
        <v>11469.6</v>
      </c>
      <c r="G31">
        <v>13007.6</v>
      </c>
      <c r="H31">
        <v>14069.2</v>
      </c>
      <c r="I31">
        <v>19053.2</v>
      </c>
      <c r="J31">
        <v>17827.8</v>
      </c>
      <c r="K31">
        <v>19430.400000000001</v>
      </c>
    </row>
    <row r="32" spans="1:11" s="5" customFormat="1" x14ac:dyDescent="0.3"/>
    <row r="33" spans="1:11" x14ac:dyDescent="0.3">
      <c r="A33" s="5"/>
    </row>
    <row r="34" spans="1:11" x14ac:dyDescent="0.3">
      <c r="A34" s="5"/>
    </row>
    <row r="35" spans="1:11" x14ac:dyDescent="0.3">
      <c r="A35" s="5"/>
    </row>
    <row r="36" spans="1:11" x14ac:dyDescent="0.3">
      <c r="A36" s="5"/>
    </row>
    <row r="37" spans="1:11" x14ac:dyDescent="0.3">
      <c r="A37" s="5"/>
    </row>
    <row r="38" spans="1:11" x14ac:dyDescent="0.3">
      <c r="A38" s="5"/>
    </row>
    <row r="39" spans="1:11" x14ac:dyDescent="0.3">
      <c r="A39" s="5"/>
    </row>
    <row r="40" spans="1:11" x14ac:dyDescent="0.3">
      <c r="A40" s="4" t="s">
        <v>43</v>
      </c>
    </row>
    <row r="41" spans="1:11" s="6" customFormat="1" x14ac:dyDescent="0.3">
      <c r="A41" s="8" t="s">
        <v>18</v>
      </c>
      <c r="B41" s="7">
        <v>45382</v>
      </c>
      <c r="C41" s="7">
        <v>45473</v>
      </c>
      <c r="D41" s="7">
        <v>45565</v>
      </c>
      <c r="E41" s="7">
        <v>45657</v>
      </c>
      <c r="F41" s="7">
        <v>45747</v>
      </c>
      <c r="G41" s="7">
        <v>45838</v>
      </c>
      <c r="H41" s="7">
        <v>45930</v>
      </c>
      <c r="I41" s="7">
        <v>46022</v>
      </c>
      <c r="J41" s="7">
        <v>46112</v>
      </c>
      <c r="K41" s="7">
        <v>46203</v>
      </c>
    </row>
    <row r="42" spans="1:11" s="5" customFormat="1" x14ac:dyDescent="0.3">
      <c r="A42" s="5" t="s">
        <v>42</v>
      </c>
      <c r="B42">
        <v>37923</v>
      </c>
      <c r="C42">
        <v>39315</v>
      </c>
      <c r="D42">
        <v>40986</v>
      </c>
      <c r="E42">
        <v>41764</v>
      </c>
      <c r="F42">
        <v>40925</v>
      </c>
      <c r="G42">
        <v>42279</v>
      </c>
      <c r="H42">
        <v>44490</v>
      </c>
      <c r="I42">
        <v>45479</v>
      </c>
      <c r="J42">
        <v>46402</v>
      </c>
      <c r="K42">
        <v>48211</v>
      </c>
    </row>
    <row r="43" spans="1:11" s="5" customFormat="1" x14ac:dyDescent="0.3">
      <c r="A43" s="5" t="s">
        <v>41</v>
      </c>
      <c r="B43">
        <v>29139</v>
      </c>
      <c r="C43">
        <v>29878</v>
      </c>
      <c r="D43">
        <v>31177</v>
      </c>
      <c r="E43">
        <v>31649</v>
      </c>
      <c r="F43">
        <v>31051</v>
      </c>
      <c r="G43">
        <v>32336</v>
      </c>
      <c r="H43">
        <v>33955</v>
      </c>
      <c r="I43">
        <v>34845</v>
      </c>
      <c r="J43">
        <v>35235</v>
      </c>
      <c r="K43">
        <v>36802</v>
      </c>
    </row>
    <row r="44" spans="1:11" s="5" customFormat="1" x14ac:dyDescent="0.3">
      <c r="A44" s="5" t="s">
        <v>40</v>
      </c>
      <c r="B44">
        <v>2729</v>
      </c>
      <c r="C44">
        <v>838</v>
      </c>
      <c r="D44">
        <v>712</v>
      </c>
      <c r="E44">
        <v>859</v>
      </c>
      <c r="F44">
        <v>1190</v>
      </c>
      <c r="G44">
        <v>1042</v>
      </c>
      <c r="H44">
        <v>982</v>
      </c>
      <c r="I44">
        <v>-150</v>
      </c>
      <c r="J44">
        <v>1159</v>
      </c>
      <c r="K44">
        <v>984</v>
      </c>
    </row>
    <row r="45" spans="1:11" s="5" customFormat="1" x14ac:dyDescent="0.3">
      <c r="A45" s="5" t="s">
        <v>39</v>
      </c>
      <c r="B45">
        <v>1163</v>
      </c>
      <c r="C45">
        <v>1149</v>
      </c>
      <c r="D45">
        <v>1160</v>
      </c>
      <c r="E45">
        <v>1203</v>
      </c>
      <c r="F45">
        <v>1299</v>
      </c>
      <c r="G45">
        <v>1140</v>
      </c>
      <c r="H45">
        <v>1182</v>
      </c>
      <c r="I45">
        <v>1155</v>
      </c>
      <c r="J45">
        <v>1424</v>
      </c>
      <c r="K45">
        <v>1246</v>
      </c>
    </row>
    <row r="46" spans="1:11" s="5" customFormat="1" x14ac:dyDescent="0.3">
      <c r="A46" s="5" t="s">
        <v>4</v>
      </c>
      <c r="B46">
        <v>110</v>
      </c>
      <c r="C46">
        <v>105</v>
      </c>
      <c r="D46">
        <v>108</v>
      </c>
      <c r="E46">
        <v>101</v>
      </c>
      <c r="F46">
        <v>102</v>
      </c>
      <c r="G46">
        <v>105</v>
      </c>
      <c r="H46">
        <v>106</v>
      </c>
      <c r="I46">
        <v>100</v>
      </c>
      <c r="J46">
        <v>105</v>
      </c>
      <c r="K46">
        <v>119</v>
      </c>
    </row>
    <row r="47" spans="1:11" s="5" customFormat="1" x14ac:dyDescent="0.3">
      <c r="A47" s="5" t="s">
        <v>38</v>
      </c>
      <c r="B47">
        <v>10240</v>
      </c>
      <c r="C47">
        <v>9021</v>
      </c>
      <c r="D47">
        <v>9253</v>
      </c>
      <c r="E47">
        <v>9670</v>
      </c>
      <c r="F47">
        <v>9663</v>
      </c>
      <c r="G47">
        <v>9740</v>
      </c>
      <c r="H47">
        <v>10229</v>
      </c>
      <c r="I47">
        <v>9229</v>
      </c>
      <c r="J47">
        <v>10797</v>
      </c>
      <c r="K47">
        <v>11028</v>
      </c>
    </row>
    <row r="48" spans="1:11" s="5" customFormat="1" x14ac:dyDescent="0.3">
      <c r="A48" s="5" t="s">
        <v>37</v>
      </c>
      <c r="B48">
        <v>2265</v>
      </c>
      <c r="C48">
        <v>2647</v>
      </c>
      <c r="D48">
        <v>2737</v>
      </c>
      <c r="E48">
        <v>2848</v>
      </c>
      <c r="F48">
        <v>2625</v>
      </c>
      <c r="G48">
        <v>2816</v>
      </c>
      <c r="H48">
        <v>2854</v>
      </c>
      <c r="I48">
        <v>2563</v>
      </c>
      <c r="J48">
        <v>2288</v>
      </c>
      <c r="K48">
        <v>3253</v>
      </c>
    </row>
    <row r="49" spans="1:11" s="5" customFormat="1" x14ac:dyDescent="0.3">
      <c r="A49" s="5" t="s">
        <v>36</v>
      </c>
      <c r="B49">
        <v>7969</v>
      </c>
      <c r="C49">
        <v>6368</v>
      </c>
      <c r="D49">
        <v>6506</v>
      </c>
      <c r="E49">
        <v>6806</v>
      </c>
      <c r="F49">
        <v>7033</v>
      </c>
      <c r="G49">
        <v>6921</v>
      </c>
      <c r="H49">
        <v>7364</v>
      </c>
      <c r="I49">
        <v>6654</v>
      </c>
      <c r="J49">
        <v>8501</v>
      </c>
      <c r="K49">
        <v>7769</v>
      </c>
    </row>
    <row r="50" spans="1:11" x14ac:dyDescent="0.3">
      <c r="A50" s="5" t="s">
        <v>35</v>
      </c>
      <c r="B50">
        <v>8784</v>
      </c>
      <c r="C50">
        <v>9437</v>
      </c>
      <c r="D50">
        <v>9809</v>
      </c>
      <c r="E50">
        <v>10115</v>
      </c>
      <c r="F50">
        <v>9874</v>
      </c>
      <c r="G50">
        <v>9943</v>
      </c>
      <c r="H50">
        <v>10535</v>
      </c>
      <c r="I50">
        <v>10634</v>
      </c>
      <c r="J50">
        <v>11167</v>
      </c>
      <c r="K50">
        <v>11409</v>
      </c>
    </row>
    <row r="51" spans="1:11" x14ac:dyDescent="0.3">
      <c r="A51" s="5"/>
    </row>
    <row r="52" spans="1:11" x14ac:dyDescent="0.3">
      <c r="A52" s="5"/>
    </row>
    <row r="53" spans="1:11" x14ac:dyDescent="0.3">
      <c r="A53" s="5"/>
    </row>
    <row r="54" spans="1:11" x14ac:dyDescent="0.3">
      <c r="A54" s="5"/>
    </row>
    <row r="55" spans="1:11" x14ac:dyDescent="0.3">
      <c r="A55" s="4" t="s">
        <v>34</v>
      </c>
    </row>
    <row r="56" spans="1:11" s="6" customFormat="1" x14ac:dyDescent="0.3">
      <c r="A56" s="8" t="s">
        <v>18</v>
      </c>
      <c r="B56" s="7">
        <v>42825</v>
      </c>
      <c r="C56" s="7">
        <v>43190</v>
      </c>
      <c r="D56" s="7">
        <v>43555</v>
      </c>
      <c r="E56" s="7">
        <v>43921</v>
      </c>
      <c r="F56" s="7">
        <v>44286</v>
      </c>
      <c r="G56" s="7">
        <v>44651</v>
      </c>
      <c r="H56" s="7">
        <v>45016</v>
      </c>
      <c r="I56" s="7">
        <v>45382</v>
      </c>
      <c r="J56" s="7">
        <v>45747</v>
      </c>
      <c r="K56" s="7">
        <v>46112</v>
      </c>
    </row>
    <row r="57" spans="1:11" x14ac:dyDescent="0.3">
      <c r="A57" s="5" t="s">
        <v>33</v>
      </c>
      <c r="B57">
        <v>1144</v>
      </c>
      <c r="C57">
        <v>1088</v>
      </c>
      <c r="D57">
        <v>2170</v>
      </c>
      <c r="E57">
        <v>2122</v>
      </c>
      <c r="F57">
        <v>2124</v>
      </c>
      <c r="G57">
        <v>2098</v>
      </c>
      <c r="H57">
        <v>2069</v>
      </c>
      <c r="I57">
        <v>2071</v>
      </c>
      <c r="J57">
        <v>2073</v>
      </c>
      <c r="K57">
        <v>2024</v>
      </c>
    </row>
    <row r="58" spans="1:11" x14ac:dyDescent="0.3">
      <c r="A58" s="5" t="s">
        <v>32</v>
      </c>
      <c r="B58">
        <v>67838</v>
      </c>
      <c r="C58">
        <v>63835</v>
      </c>
      <c r="D58">
        <v>62778</v>
      </c>
      <c r="E58">
        <v>63328</v>
      </c>
      <c r="F58">
        <v>74227</v>
      </c>
      <c r="G58">
        <v>73252</v>
      </c>
      <c r="H58">
        <v>73338</v>
      </c>
      <c r="I58">
        <v>86045</v>
      </c>
      <c r="J58">
        <v>93745</v>
      </c>
      <c r="K58">
        <v>90828</v>
      </c>
    </row>
    <row r="59" spans="1:11" x14ac:dyDescent="0.3">
      <c r="A59" s="5" t="s">
        <v>31</v>
      </c>
      <c r="B59"/>
      <c r="C59"/>
      <c r="D59"/>
      <c r="E59">
        <v>4633</v>
      </c>
      <c r="F59">
        <v>5325</v>
      </c>
      <c r="G59">
        <v>5474</v>
      </c>
      <c r="H59">
        <v>8299</v>
      </c>
      <c r="I59">
        <v>8359</v>
      </c>
      <c r="J59">
        <v>8227</v>
      </c>
      <c r="K59">
        <v>9176</v>
      </c>
    </row>
    <row r="60" spans="1:11" x14ac:dyDescent="0.3">
      <c r="A60" s="5" t="s">
        <v>30</v>
      </c>
      <c r="B60">
        <v>14166</v>
      </c>
      <c r="C60">
        <v>14426</v>
      </c>
      <c r="D60">
        <v>19118</v>
      </c>
      <c r="E60">
        <v>21717</v>
      </c>
      <c r="F60">
        <v>25835</v>
      </c>
      <c r="G60">
        <v>35905</v>
      </c>
      <c r="H60">
        <v>40890</v>
      </c>
      <c r="I60">
        <v>39545</v>
      </c>
      <c r="J60">
        <v>43750</v>
      </c>
      <c r="K60">
        <v>52260</v>
      </c>
    </row>
    <row r="61" spans="1:11" s="4" customFormat="1" x14ac:dyDescent="0.3">
      <c r="A61" s="4" t="s">
        <v>7</v>
      </c>
      <c r="B61">
        <v>83148</v>
      </c>
      <c r="C61">
        <v>79349</v>
      </c>
      <c r="D61">
        <v>84066</v>
      </c>
      <c r="E61">
        <v>91800</v>
      </c>
      <c r="F61">
        <v>107511</v>
      </c>
      <c r="G61">
        <v>116729</v>
      </c>
      <c r="H61">
        <v>124596</v>
      </c>
      <c r="I61">
        <v>136020</v>
      </c>
      <c r="J61">
        <v>147795</v>
      </c>
      <c r="K61">
        <v>154288</v>
      </c>
    </row>
    <row r="62" spans="1:11" x14ac:dyDescent="0.3">
      <c r="A62" s="5" t="s">
        <v>29</v>
      </c>
      <c r="B62">
        <v>14179</v>
      </c>
      <c r="C62">
        <v>12574</v>
      </c>
      <c r="D62">
        <v>15710</v>
      </c>
      <c r="E62">
        <v>23789</v>
      </c>
      <c r="F62">
        <v>25505</v>
      </c>
      <c r="G62">
        <v>25800</v>
      </c>
      <c r="H62">
        <v>29225</v>
      </c>
      <c r="I62">
        <v>27622</v>
      </c>
      <c r="J62">
        <v>30961</v>
      </c>
      <c r="K62">
        <v>33770</v>
      </c>
    </row>
    <row r="63" spans="1:11" x14ac:dyDescent="0.3">
      <c r="A63" s="5" t="s">
        <v>28</v>
      </c>
      <c r="B63">
        <v>1365</v>
      </c>
      <c r="C63">
        <v>1606</v>
      </c>
      <c r="D63">
        <v>1388</v>
      </c>
      <c r="E63">
        <v>954</v>
      </c>
      <c r="F63">
        <v>922</v>
      </c>
      <c r="G63">
        <v>416</v>
      </c>
      <c r="H63">
        <v>288</v>
      </c>
      <c r="I63">
        <v>293</v>
      </c>
      <c r="J63">
        <v>814</v>
      </c>
      <c r="K63">
        <v>526</v>
      </c>
    </row>
    <row r="64" spans="1:11" x14ac:dyDescent="0.3">
      <c r="A64" s="5" t="s">
        <v>27</v>
      </c>
      <c r="B64">
        <v>16423</v>
      </c>
      <c r="C64">
        <v>12163</v>
      </c>
      <c r="D64">
        <v>11261</v>
      </c>
      <c r="E64">
        <v>8792</v>
      </c>
      <c r="F64">
        <v>14205</v>
      </c>
      <c r="G64">
        <v>20324</v>
      </c>
      <c r="H64">
        <v>19478</v>
      </c>
      <c r="I64">
        <v>24623</v>
      </c>
      <c r="J64">
        <v>23541</v>
      </c>
      <c r="K64">
        <v>21880</v>
      </c>
    </row>
    <row r="65" spans="1:11" x14ac:dyDescent="0.3">
      <c r="A65" s="5" t="s">
        <v>26</v>
      </c>
      <c r="B65">
        <v>51181</v>
      </c>
      <c r="C65">
        <v>53006</v>
      </c>
      <c r="D65">
        <v>55707</v>
      </c>
      <c r="E65">
        <v>58265</v>
      </c>
      <c r="F65">
        <v>66879</v>
      </c>
      <c r="G65">
        <v>70189</v>
      </c>
      <c r="H65">
        <v>75605</v>
      </c>
      <c r="I65">
        <v>83482</v>
      </c>
      <c r="J65">
        <v>92479</v>
      </c>
      <c r="K65">
        <v>98112</v>
      </c>
    </row>
    <row r="66" spans="1:11" s="4" customFormat="1" x14ac:dyDescent="0.3">
      <c r="A66" s="4" t="s">
        <v>7</v>
      </c>
      <c r="B66">
        <v>83148</v>
      </c>
      <c r="C66">
        <v>79349</v>
      </c>
      <c r="D66">
        <v>84066</v>
      </c>
      <c r="E66">
        <v>91800</v>
      </c>
      <c r="F66">
        <v>107511</v>
      </c>
      <c r="G66">
        <v>116729</v>
      </c>
      <c r="H66">
        <v>124596</v>
      </c>
      <c r="I66">
        <v>136020</v>
      </c>
      <c r="J66">
        <v>147795</v>
      </c>
      <c r="K66">
        <v>154288</v>
      </c>
    </row>
    <row r="67" spans="1:11" s="5" customFormat="1" x14ac:dyDescent="0.3">
      <c r="A67" s="5" t="s">
        <v>25</v>
      </c>
      <c r="B67">
        <v>12322</v>
      </c>
      <c r="C67">
        <v>13142</v>
      </c>
      <c r="D67">
        <v>14827</v>
      </c>
      <c r="E67">
        <v>18487</v>
      </c>
      <c r="F67">
        <v>19294</v>
      </c>
      <c r="G67">
        <v>22698</v>
      </c>
      <c r="H67">
        <v>25424</v>
      </c>
      <c r="I67">
        <v>30193</v>
      </c>
      <c r="J67">
        <v>31158</v>
      </c>
      <c r="K67">
        <v>35234</v>
      </c>
    </row>
    <row r="68" spans="1:11" x14ac:dyDescent="0.3">
      <c r="A68" s="5" t="s">
        <v>24</v>
      </c>
      <c r="B68"/>
      <c r="C68"/>
      <c r="D68"/>
      <c r="E68"/>
      <c r="F68"/>
      <c r="G68"/>
      <c r="H68"/>
      <c r="I68"/>
      <c r="J68"/>
      <c r="K68"/>
    </row>
    <row r="69" spans="1:11" x14ac:dyDescent="0.3">
      <c r="A69" s="2" t="s">
        <v>23</v>
      </c>
      <c r="B69">
        <v>22625</v>
      </c>
      <c r="C69">
        <v>19818</v>
      </c>
      <c r="D69">
        <v>19568</v>
      </c>
      <c r="E69">
        <v>18649</v>
      </c>
      <c r="F69">
        <v>24714</v>
      </c>
      <c r="G69">
        <v>17472</v>
      </c>
      <c r="H69">
        <v>12173</v>
      </c>
      <c r="I69">
        <v>14786</v>
      </c>
      <c r="J69">
        <v>24455</v>
      </c>
      <c r="K69">
        <v>22201</v>
      </c>
    </row>
    <row r="70" spans="1:11" x14ac:dyDescent="0.3">
      <c r="A70" s="2" t="s">
        <v>22</v>
      </c>
      <c r="B70">
        <v>2285655150</v>
      </c>
      <c r="C70">
        <v>2173312301</v>
      </c>
      <c r="D70">
        <v>4335954462</v>
      </c>
      <c r="E70">
        <v>4240753210</v>
      </c>
      <c r="F70">
        <v>4245146114</v>
      </c>
      <c r="G70">
        <v>4193012929</v>
      </c>
      <c r="H70">
        <v>4136387925</v>
      </c>
      <c r="I70">
        <v>4139950635</v>
      </c>
      <c r="J70">
        <v>4143607528</v>
      </c>
      <c r="K70">
        <v>4046940812</v>
      </c>
    </row>
    <row r="71" spans="1:11" x14ac:dyDescent="0.3">
      <c r="A71" s="2" t="s">
        <v>21</v>
      </c>
      <c r="D71">
        <v>2184191490</v>
      </c>
    </row>
    <row r="72" spans="1:11" x14ac:dyDescent="0.3">
      <c r="A72" s="2" t="s">
        <v>20</v>
      </c>
      <c r="B72">
        <v>5</v>
      </c>
      <c r="C72">
        <v>5</v>
      </c>
      <c r="D72">
        <v>5</v>
      </c>
      <c r="E72">
        <v>5</v>
      </c>
      <c r="F72">
        <v>5</v>
      </c>
      <c r="G72">
        <v>5</v>
      </c>
      <c r="H72">
        <v>5</v>
      </c>
      <c r="I72">
        <v>5</v>
      </c>
      <c r="J72">
        <v>5</v>
      </c>
      <c r="K72">
        <v>5</v>
      </c>
    </row>
    <row r="74" spans="1:11" x14ac:dyDescent="0.3">
      <c r="A74" s="5"/>
    </row>
    <row r="75" spans="1:11" x14ac:dyDescent="0.3">
      <c r="A75" s="5"/>
    </row>
    <row r="76" spans="1:11" x14ac:dyDescent="0.3">
      <c r="A76" s="5"/>
    </row>
    <row r="77" spans="1:11" x14ac:dyDescent="0.3">
      <c r="A77" s="5"/>
    </row>
    <row r="78" spans="1:11" x14ac:dyDescent="0.3">
      <c r="A78" s="5"/>
    </row>
    <row r="79" spans="1:11" x14ac:dyDescent="0.3">
      <c r="A79" s="5"/>
    </row>
    <row r="80" spans="1:11" x14ac:dyDescent="0.3">
      <c r="A80" s="4" t="s">
        <v>19</v>
      </c>
    </row>
    <row r="81" spans="1:11" s="6" customFormat="1" x14ac:dyDescent="0.3">
      <c r="A81" s="8" t="s">
        <v>18</v>
      </c>
      <c r="B81" s="7">
        <v>42825</v>
      </c>
      <c r="C81" s="7">
        <v>43190</v>
      </c>
      <c r="D81" s="7">
        <v>43555</v>
      </c>
      <c r="E81" s="7">
        <v>43921</v>
      </c>
      <c r="F81" s="7">
        <v>44286</v>
      </c>
      <c r="G81" s="7">
        <v>44651</v>
      </c>
      <c r="H81" s="7">
        <v>45016</v>
      </c>
      <c r="I81" s="7">
        <v>45382</v>
      </c>
      <c r="J81" s="7">
        <v>45747</v>
      </c>
      <c r="K81" s="7">
        <v>46112</v>
      </c>
    </row>
    <row r="82" spans="1:11" s="4" customFormat="1" x14ac:dyDescent="0.3">
      <c r="A82" s="5" t="s">
        <v>17</v>
      </c>
      <c r="B82">
        <v>11531</v>
      </c>
      <c r="C82">
        <v>13218</v>
      </c>
      <c r="D82">
        <v>14841</v>
      </c>
      <c r="E82">
        <v>17003</v>
      </c>
      <c r="F82">
        <v>23224</v>
      </c>
      <c r="G82">
        <v>23885</v>
      </c>
      <c r="H82">
        <v>22467</v>
      </c>
      <c r="I82">
        <v>25210</v>
      </c>
      <c r="J82">
        <v>35694</v>
      </c>
      <c r="K82">
        <v>33986</v>
      </c>
    </row>
    <row r="83" spans="1:11" s="5" customFormat="1" x14ac:dyDescent="0.3">
      <c r="A83" s="5" t="s">
        <v>16</v>
      </c>
      <c r="B83">
        <v>-14664</v>
      </c>
      <c r="C83">
        <v>4533</v>
      </c>
      <c r="D83">
        <v>-632</v>
      </c>
      <c r="E83">
        <v>-331</v>
      </c>
      <c r="F83">
        <v>-7373</v>
      </c>
      <c r="G83">
        <v>-6485</v>
      </c>
      <c r="H83">
        <v>-1071</v>
      </c>
      <c r="I83">
        <v>-5093</v>
      </c>
      <c r="J83">
        <v>-1864</v>
      </c>
      <c r="K83">
        <v>3546</v>
      </c>
    </row>
    <row r="84" spans="1:11" s="5" customFormat="1" x14ac:dyDescent="0.3">
      <c r="A84" s="5" t="s">
        <v>15</v>
      </c>
      <c r="B84">
        <v>-6939</v>
      </c>
      <c r="C84">
        <v>-20505</v>
      </c>
      <c r="D84">
        <v>-14512</v>
      </c>
      <c r="E84">
        <v>-17591</v>
      </c>
      <c r="F84">
        <v>-9786</v>
      </c>
      <c r="G84">
        <v>-24642</v>
      </c>
      <c r="H84">
        <v>-26695</v>
      </c>
      <c r="I84">
        <v>-17504</v>
      </c>
      <c r="J84">
        <v>-24161</v>
      </c>
      <c r="K84">
        <v>-39786</v>
      </c>
    </row>
    <row r="85" spans="1:11" s="4" customFormat="1" x14ac:dyDescent="0.3">
      <c r="A85" s="5" t="s">
        <v>14</v>
      </c>
      <c r="B85">
        <v>-10072</v>
      </c>
      <c r="C85">
        <v>-2754</v>
      </c>
      <c r="D85">
        <v>-303</v>
      </c>
      <c r="E85">
        <v>-919</v>
      </c>
      <c r="F85">
        <v>6065</v>
      </c>
      <c r="G85">
        <v>-7242</v>
      </c>
      <c r="H85">
        <v>-5299</v>
      </c>
      <c r="I85">
        <v>2613</v>
      </c>
      <c r="J85">
        <v>9669</v>
      </c>
      <c r="K85">
        <v>-2254</v>
      </c>
    </row>
    <row r="86" spans="1:11" x14ac:dyDescent="0.3">
      <c r="A86" s="5"/>
    </row>
    <row r="87" spans="1:11" x14ac:dyDescent="0.3">
      <c r="A87" s="5"/>
    </row>
    <row r="88" spans="1:11" x14ac:dyDescent="0.3">
      <c r="A88" s="5"/>
    </row>
    <row r="89" spans="1:11" x14ac:dyDescent="0.3">
      <c r="A89" s="5"/>
    </row>
    <row r="90" spans="1:11" s="4" customFormat="1" x14ac:dyDescent="0.3">
      <c r="A90" s="4" t="s">
        <v>13</v>
      </c>
      <c r="B90">
        <v>511.13</v>
      </c>
      <c r="C90">
        <v>565.9</v>
      </c>
      <c r="D90">
        <v>743.85</v>
      </c>
      <c r="E90">
        <v>641.5</v>
      </c>
      <c r="F90">
        <v>1368.05</v>
      </c>
      <c r="G90">
        <v>1906.85</v>
      </c>
      <c r="H90">
        <v>1427.95</v>
      </c>
      <c r="I90">
        <v>1498.05</v>
      </c>
      <c r="J90">
        <v>1570.65</v>
      </c>
      <c r="K90">
        <v>1250.5999999999999</v>
      </c>
    </row>
    <row r="92" spans="1:11" s="4" customFormat="1" x14ac:dyDescent="0.3">
      <c r="A92" s="4" t="s">
        <v>12</v>
      </c>
    </row>
    <row r="93" spans="1:11" x14ac:dyDescent="0.3">
      <c r="A93" s="2" t="s">
        <v>11</v>
      </c>
      <c r="B93" s="3">
        <v>459.39</v>
      </c>
      <c r="C93" s="3">
        <v>436.82</v>
      </c>
      <c r="D93" s="3">
        <v>436.89</v>
      </c>
      <c r="E93" s="3">
        <v>425.9</v>
      </c>
      <c r="F93" s="3">
        <v>426.07</v>
      </c>
      <c r="G93" s="3">
        <v>420.67</v>
      </c>
      <c r="H93" s="3">
        <v>414.86</v>
      </c>
      <c r="I93" s="3">
        <v>415.09</v>
      </c>
      <c r="J93" s="3">
        <v>415.33</v>
      </c>
      <c r="K93" s="3">
        <v>405.56</v>
      </c>
    </row>
  </sheetData>
  <mergeCells count="2">
    <mergeCell ref="E1:K1"/>
    <mergeCell ref="E2:K2"/>
  </mergeCells>
  <conditionalFormatting sqref="E1:K1">
    <cfRule type="cellIs" dxfId="0" priority="1" operator="notEqual">
      <formula>""</formula>
    </cfRule>
  </conditionalFormatting>
  <hyperlinks>
    <hyperlink ref="E1:K1" r:id="rId1" display="https://www.screener.in/excel/" xr:uid="{88B2C5E7-61AC-4394-A8F9-2C85DBDBA28C}"/>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Assumption sheet</vt:lpstr>
      <vt:lpstr>Capex Schedule</vt:lpstr>
      <vt:lpstr>Historical FS</vt:lpstr>
      <vt:lpstr>Ratio_Analysis</vt:lpstr>
      <vt:lpstr>DCF_valuation</vt:lpstr>
      <vt:lpstr>Investment_Summary</vt:lpstr>
      <vt:lpstr>Financial Summary</vt:lpstr>
      <vt:lpstr>Data Sheet</vt:lpstr>
      <vt:lpstr>UPDATE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Satyam Mishra</dc:creator>
  <cp:lastModifiedBy>satyam mishra</cp:lastModifiedBy>
  <dcterms:created xsi:type="dcterms:W3CDTF">2015-06-05T18:17:20Z</dcterms:created>
  <dcterms:modified xsi:type="dcterms:W3CDTF">2026-10-05T19:22:10Z</dcterms:modified>
</cp:coreProperties>
</file>